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59b9c986590a1f/Desktop/"/>
    </mc:Choice>
  </mc:AlternateContent>
  <xr:revisionPtr revIDLastSave="25" documentId="13_ncr:1_{6BBE4F0B-1632-46DF-8785-FFB6176A19A8}" xr6:coauthVersionLast="47" xr6:coauthVersionMax="47" xr10:uidLastSave="{5D89EAC3-0432-4CA6-AE90-BE961A656F15}"/>
  <bookViews>
    <workbookView xWindow="-109" yWindow="-109" windowWidth="26301" windowHeight="14169" tabRatio="697" xr2:uid="{00000000-000D-0000-FFFF-FFFF00000000}"/>
  </bookViews>
  <sheets>
    <sheet name="練習問題1－1" sheetId="1" r:id="rId1"/>
    <sheet name="第2章　図表2－4" sheetId="12" r:id="rId2"/>
    <sheet name="第2章　図表2－5" sheetId="20" r:id="rId3"/>
    <sheet name="練習問題2－1" sheetId="8" r:id="rId4"/>
    <sheet name="練習問題2－2" sheetId="11" r:id="rId5"/>
    <sheet name="練習問題2－3" sheetId="13" r:id="rId6"/>
    <sheet name="練習問題3－1(1)" sheetId="5" r:id="rId7"/>
    <sheet name="練習問題3－1(2)" sheetId="3" r:id="rId8"/>
    <sheet name="練習問題3－２(1)" sheetId="6" r:id="rId9"/>
    <sheet name="練習問題3－2(2)" sheetId="7" r:id="rId10"/>
    <sheet name="練習問題4－２" sheetId="16" r:id="rId11"/>
    <sheet name="練習問題4－3" sheetId="17" r:id="rId12"/>
    <sheet name="練習問題4－4ブランク" sheetId="15" r:id="rId13"/>
    <sheet name="練習問題4－4解答" sheetId="14" r:id="rId14"/>
    <sheet name="第5章第3節　預金の価値" sheetId="2" r:id="rId15"/>
    <sheet name="練習問題5－１" sheetId="23" r:id="rId16"/>
    <sheet name="練習問題5－2" sheetId="24" r:id="rId17"/>
    <sheet name="練習問題6－1" sheetId="25" r:id="rId18"/>
    <sheet name="練習問題7－1" sheetId="26" r:id="rId19"/>
    <sheet name="練習問題9－1" sheetId="27" r:id="rId20"/>
    <sheet name="練習問題10－1" sheetId="2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7" l="1"/>
  <c r="G32" i="27"/>
  <c r="B17" i="28"/>
  <c r="F10" i="28"/>
  <c r="F9" i="28"/>
  <c r="F8" i="28"/>
  <c r="F7" i="28"/>
  <c r="F6" i="28"/>
  <c r="B20" i="28" s="1"/>
  <c r="E7" i="28"/>
  <c r="E8" i="28"/>
  <c r="E9" i="28"/>
  <c r="E6" i="28"/>
  <c r="A57" i="25"/>
  <c r="B31" i="3"/>
  <c r="A24" i="5"/>
  <c r="D31" i="11"/>
  <c r="F35" i="11"/>
  <c r="E33" i="11"/>
  <c r="A13" i="5"/>
  <c r="C27" i="8"/>
  <c r="F12" i="8"/>
  <c r="E42" i="27"/>
  <c r="D32" i="27"/>
  <c r="D31" i="27"/>
  <c r="D30" i="27"/>
  <c r="F21" i="27"/>
  <c r="G21" i="27" s="1"/>
  <c r="E20" i="27"/>
  <c r="G20" i="27" s="1"/>
  <c r="D19" i="27"/>
  <c r="G19" i="27" s="1"/>
  <c r="B18" i="27"/>
  <c r="C18" i="27"/>
  <c r="J11" i="27"/>
  <c r="J10" i="27"/>
  <c r="J9" i="27"/>
  <c r="J8" i="27"/>
  <c r="B12" i="27"/>
  <c r="M5" i="27" s="1"/>
  <c r="N10" i="27"/>
  <c r="N7" i="27"/>
  <c r="N9" i="27"/>
  <c r="N6" i="27"/>
  <c r="N5" i="27"/>
  <c r="L8" i="27"/>
  <c r="L7" i="27"/>
  <c r="L6" i="27"/>
  <c r="L5" i="27"/>
  <c r="G18" i="27" l="1"/>
  <c r="G22" i="27" s="1"/>
  <c r="J12" i="27"/>
  <c r="O10" i="27" s="1"/>
  <c r="G31" i="27"/>
  <c r="G30" i="27"/>
  <c r="E36" i="27"/>
  <c r="E40" i="27"/>
  <c r="E33" i="27"/>
  <c r="E41" i="27" s="1"/>
  <c r="E43" i="27" s="1"/>
  <c r="B22" i="27"/>
  <c r="B25" i="27" s="1"/>
  <c r="C22" i="27"/>
  <c r="D22" i="27"/>
  <c r="E22" i="27"/>
  <c r="F22" i="27"/>
  <c r="C12" i="27"/>
  <c r="M6" i="27" s="1"/>
  <c r="D12" i="27"/>
  <c r="M7" i="27" s="1"/>
  <c r="E12" i="27"/>
  <c r="M8" i="27" s="1"/>
  <c r="F12" i="27"/>
  <c r="O5" i="27" s="1"/>
  <c r="G12" i="27"/>
  <c r="O6" i="27" s="1"/>
  <c r="H12" i="27"/>
  <c r="O7" i="27" s="1"/>
  <c r="I12" i="27"/>
  <c r="O9" i="27" s="1"/>
  <c r="C44" i="13"/>
  <c r="D46" i="13"/>
  <c r="E48" i="13"/>
  <c r="F50" i="13"/>
  <c r="G52" i="13"/>
  <c r="E31" i="11"/>
  <c r="M11" i="27" l="1"/>
  <c r="C25" i="27"/>
  <c r="G25" i="27" s="1"/>
  <c r="O11" i="27"/>
  <c r="A89" i="26"/>
  <c r="B87" i="26"/>
  <c r="A86" i="26"/>
  <c r="B90" i="26"/>
  <c r="B49" i="26"/>
  <c r="A48" i="26"/>
  <c r="H38" i="26"/>
  <c r="A51" i="26" s="1"/>
  <c r="E38" i="26"/>
  <c r="F38" i="26" s="1"/>
  <c r="G38" i="26" s="1"/>
  <c r="A18" i="26"/>
  <c r="H8" i="26"/>
  <c r="C8" i="26"/>
  <c r="E8" i="26" s="1"/>
  <c r="G14" i="25"/>
  <c r="F49" i="25"/>
  <c r="F30" i="25"/>
  <c r="F11" i="25"/>
  <c r="C52" i="25"/>
  <c r="B52" i="25"/>
  <c r="C33" i="25"/>
  <c r="B33" i="25"/>
  <c r="C49" i="25"/>
  <c r="B49" i="25"/>
  <c r="C30" i="25"/>
  <c r="B30" i="25"/>
  <c r="F46" i="25"/>
  <c r="G52" i="25" s="1"/>
  <c r="C46" i="25"/>
  <c r="B46" i="25"/>
  <c r="F27" i="25"/>
  <c r="G33" i="25" s="1"/>
  <c r="C27" i="25"/>
  <c r="B27" i="25"/>
  <c r="F8" i="25"/>
  <c r="C14" i="25"/>
  <c r="B14" i="25"/>
  <c r="C11" i="25"/>
  <c r="B11" i="25"/>
  <c r="C8" i="25"/>
  <c r="B8" i="25"/>
  <c r="A83" i="26" l="1"/>
  <c r="B52" i="26"/>
  <c r="A45" i="26"/>
  <c r="F8" i="26"/>
  <c r="F52" i="25"/>
  <c r="F14" i="25"/>
  <c r="A20" i="25" s="1"/>
  <c r="F33" i="25"/>
  <c r="B31" i="24"/>
  <c r="B30" i="24"/>
  <c r="B29" i="24"/>
  <c r="B21" i="24"/>
  <c r="B20" i="24"/>
  <c r="B22" i="24" s="1"/>
  <c r="B11" i="24"/>
  <c r="B12" i="24" s="1"/>
  <c r="A15" i="5"/>
  <c r="H19" i="23"/>
  <c r="H20" i="23" s="1"/>
  <c r="H21" i="23" s="1"/>
  <c r="H14" i="23"/>
  <c r="H15" i="23" s="1"/>
  <c r="H16" i="23" s="1"/>
  <c r="H9" i="23"/>
  <c r="H10" i="23" s="1"/>
  <c r="H11" i="23" s="1"/>
  <c r="H4" i="23"/>
  <c r="H5" i="23" s="1"/>
  <c r="H6" i="23" s="1"/>
  <c r="C12" i="8"/>
  <c r="D12" i="8" s="1"/>
  <c r="E12" i="8" s="1"/>
  <c r="G12" i="8" s="1"/>
  <c r="A10" i="7"/>
  <c r="A12" i="3"/>
  <c r="A10" i="3"/>
  <c r="B4" i="1"/>
  <c r="C4" i="1" s="1"/>
  <c r="D4" i="1" s="1"/>
  <c r="E4" i="1" s="1"/>
  <c r="F4" i="1" s="1"/>
  <c r="G4" i="1" s="1"/>
  <c r="H4" i="1" s="1"/>
  <c r="I4" i="1" s="1"/>
  <c r="J4" i="1" s="1"/>
  <c r="G19" i="12"/>
  <c r="F17" i="12"/>
  <c r="E15" i="12"/>
  <c r="D13" i="12"/>
  <c r="C11" i="12"/>
  <c r="B11" i="12"/>
  <c r="B13" i="12" s="1"/>
  <c r="G19" i="20"/>
  <c r="F17" i="20"/>
  <c r="F19" i="20" s="1"/>
  <c r="E15" i="20"/>
  <c r="E17" i="20" s="1"/>
  <c r="E19" i="20" s="1"/>
  <c r="D13" i="20"/>
  <c r="D15" i="20" s="1"/>
  <c r="D17" i="20" s="1"/>
  <c r="D19" i="20" s="1"/>
  <c r="C11" i="20"/>
  <c r="C13" i="20" s="1"/>
  <c r="C15" i="20" s="1"/>
  <c r="C17" i="20" s="1"/>
  <c r="C19" i="20" s="1"/>
  <c r="A10" i="12"/>
  <c r="B32" i="24" l="1"/>
  <c r="A18" i="20"/>
  <c r="B43" i="26"/>
  <c r="B81" i="26"/>
  <c r="A80" i="26"/>
  <c r="A102" i="26"/>
  <c r="A95" i="26"/>
  <c r="A92" i="26"/>
  <c r="A39" i="25"/>
  <c r="A37" i="25"/>
  <c r="A36" i="25"/>
  <c r="A38" i="25"/>
  <c r="A100" i="26"/>
  <c r="A58" i="25"/>
  <c r="A56" i="25"/>
  <c r="A55" i="25"/>
  <c r="A64" i="26"/>
  <c r="A101" i="26"/>
  <c r="A99" i="26"/>
  <c r="B46" i="26"/>
  <c r="B55" i="26"/>
  <c r="B58" i="26" s="1"/>
  <c r="B65" i="26" s="1"/>
  <c r="B68" i="26" s="1"/>
  <c r="A63" i="26"/>
  <c r="B13" i="26"/>
  <c r="A12" i="26"/>
  <c r="A62" i="26"/>
  <c r="A61" i="26"/>
  <c r="A57" i="26"/>
  <c r="A42" i="26"/>
  <c r="A54" i="26"/>
  <c r="A19" i="26"/>
  <c r="A15" i="26"/>
  <c r="G8" i="26"/>
  <c r="A17" i="25"/>
  <c r="A19" i="25"/>
  <c r="A18" i="25"/>
  <c r="A20" i="20"/>
  <c r="A14" i="20"/>
  <c r="A12" i="20"/>
  <c r="B15" i="12"/>
  <c r="A67" i="26" l="1"/>
  <c r="B93" i="26"/>
  <c r="B96" i="26" s="1"/>
  <c r="B103" i="26" s="1"/>
  <c r="B106" i="26" s="1"/>
  <c r="B84" i="26"/>
  <c r="A29" i="26"/>
  <c r="A26" i="26"/>
  <c r="A105" i="26"/>
  <c r="B20" i="26"/>
  <c r="B27" i="26" s="1"/>
  <c r="B30" i="26" s="1"/>
  <c r="B16" i="26"/>
  <c r="A25" i="26"/>
  <c r="A23" i="26"/>
  <c r="A24" i="26"/>
  <c r="A16" i="20"/>
  <c r="B17" i="12"/>
  <c r="B19" i="12" l="1"/>
  <c r="G18" i="17" l="1"/>
  <c r="G19" i="17"/>
  <c r="G13" i="17"/>
  <c r="G12" i="17"/>
  <c r="A26" i="16"/>
  <c r="A23" i="16"/>
  <c r="A21" i="16"/>
  <c r="A19" i="16"/>
  <c r="A17" i="16"/>
  <c r="A15" i="16"/>
  <c r="A13" i="16"/>
  <c r="A29" i="16" l="1"/>
  <c r="G20" i="17"/>
  <c r="C5" i="14"/>
  <c r="G5" i="14"/>
  <c r="K5" i="14"/>
  <c r="C6" i="14"/>
  <c r="G6" i="14"/>
  <c r="K6" i="14"/>
  <c r="C7" i="14"/>
  <c r="G7" i="14"/>
  <c r="K7" i="14"/>
  <c r="C8" i="14"/>
  <c r="G8" i="14"/>
  <c r="K8" i="14"/>
  <c r="C15" i="14"/>
  <c r="G15" i="14"/>
  <c r="K15" i="14"/>
  <c r="C16" i="14"/>
  <c r="G16" i="14"/>
  <c r="K16" i="14"/>
  <c r="C17" i="14"/>
  <c r="G17" i="14"/>
  <c r="K17" i="14"/>
  <c r="C18" i="14"/>
  <c r="G18" i="14"/>
  <c r="K18" i="14"/>
  <c r="C25" i="14"/>
  <c r="G25" i="14"/>
  <c r="K25" i="14"/>
  <c r="C26" i="14"/>
  <c r="G26" i="14"/>
  <c r="K26" i="14"/>
  <c r="C27" i="14"/>
  <c r="G27" i="14"/>
  <c r="K27" i="14"/>
  <c r="C28" i="14"/>
  <c r="G28" i="14"/>
  <c r="K28" i="14"/>
  <c r="C9" i="14" l="1"/>
  <c r="G29" i="14"/>
  <c r="K9" i="14"/>
  <c r="K29" i="14"/>
  <c r="K19" i="14"/>
  <c r="C19" i="14"/>
  <c r="G9" i="14"/>
  <c r="C29" i="14"/>
  <c r="G19" i="14"/>
  <c r="A45" i="13"/>
  <c r="F52" i="13"/>
  <c r="E50" i="13"/>
  <c r="E52" i="13" s="1"/>
  <c r="D48" i="13"/>
  <c r="D50" i="13" s="1"/>
  <c r="D52" i="13" s="1"/>
  <c r="G31" i="13"/>
  <c r="F29" i="13"/>
  <c r="F31" i="13" s="1"/>
  <c r="E27" i="13"/>
  <c r="E29" i="13" s="1"/>
  <c r="E31" i="13" s="1"/>
  <c r="D25" i="13"/>
  <c r="D27" i="13" s="1"/>
  <c r="D29" i="13" s="1"/>
  <c r="D31" i="13" s="1"/>
  <c r="C23" i="13"/>
  <c r="A24" i="13" s="1"/>
  <c r="C25" i="13" l="1"/>
  <c r="C46" i="13"/>
  <c r="C48" i="13" s="1"/>
  <c r="A47" i="13" l="1"/>
  <c r="C27" i="13"/>
  <c r="A26" i="13"/>
  <c r="C27" i="12"/>
  <c r="D27" i="12" s="1"/>
  <c r="E27" i="12" s="1"/>
  <c r="F27" i="12" s="1"/>
  <c r="G27" i="12" s="1"/>
  <c r="F19" i="12"/>
  <c r="E17" i="12"/>
  <c r="E19" i="12" s="1"/>
  <c r="D15" i="12"/>
  <c r="A12" i="12"/>
  <c r="C50" i="13" l="1"/>
  <c r="A49" i="13"/>
  <c r="C29" i="13"/>
  <c r="A28" i="13"/>
  <c r="C13" i="12"/>
  <c r="D17" i="12"/>
  <c r="D19" i="12" s="1"/>
  <c r="C14" i="11"/>
  <c r="D14" i="11" s="1"/>
  <c r="E14" i="11" s="1"/>
  <c r="F14" i="11" s="1"/>
  <c r="G14" i="11" s="1"/>
  <c r="C45" i="8"/>
  <c r="D45" i="8" s="1"/>
  <c r="E45" i="8" s="1"/>
  <c r="F45" i="8" s="1"/>
  <c r="G45" i="8" s="1"/>
  <c r="G35" i="11"/>
  <c r="F33" i="11"/>
  <c r="E35" i="11"/>
  <c r="D29" i="11"/>
  <c r="D33" i="11" s="1"/>
  <c r="D35" i="11" s="1"/>
  <c r="C27" i="11"/>
  <c r="C25" i="8"/>
  <c r="D27" i="8"/>
  <c r="D29" i="8" s="1"/>
  <c r="D31" i="8" s="1"/>
  <c r="D33" i="8" s="1"/>
  <c r="E29" i="8"/>
  <c r="E31" i="8" s="1"/>
  <c r="E33" i="8" s="1"/>
  <c r="F31" i="8"/>
  <c r="F33" i="8" s="1"/>
  <c r="G33" i="8"/>
  <c r="G66" i="8"/>
  <c r="F64" i="8"/>
  <c r="F66" i="8" s="1"/>
  <c r="E62" i="8"/>
  <c r="E64" i="8" s="1"/>
  <c r="E66" i="8" s="1"/>
  <c r="D60" i="8"/>
  <c r="D62" i="8" s="1"/>
  <c r="D64" i="8" s="1"/>
  <c r="D66" i="8" s="1"/>
  <c r="C58" i="8"/>
  <c r="A59" i="8" s="1"/>
  <c r="A26" i="8" l="1"/>
  <c r="C29" i="11"/>
  <c r="A28" i="11"/>
  <c r="C52" i="13"/>
  <c r="A53" i="13" s="1"/>
  <c r="A51" i="13"/>
  <c r="C31" i="13"/>
  <c r="A32" i="13" s="1"/>
  <c r="A30" i="13"/>
  <c r="C60" i="8"/>
  <c r="A61" i="8" s="1"/>
  <c r="C15" i="12"/>
  <c r="A14" i="12"/>
  <c r="C27" i="3"/>
  <c r="G19" i="7"/>
  <c r="F17" i="7"/>
  <c r="F19" i="7" s="1"/>
  <c r="E15" i="7"/>
  <c r="E17" i="7" s="1"/>
  <c r="E19" i="7" s="1"/>
  <c r="D13" i="7"/>
  <c r="C11" i="7"/>
  <c r="C28" i="7"/>
  <c r="A15" i="6"/>
  <c r="A21" i="6"/>
  <c r="A19" i="6"/>
  <c r="A17" i="6"/>
  <c r="A13" i="6"/>
  <c r="A21" i="5"/>
  <c r="A19" i="5"/>
  <c r="A17" i="5"/>
  <c r="C28" i="3"/>
  <c r="D28" i="3" s="1"/>
  <c r="E28" i="3" s="1"/>
  <c r="F28" i="3" s="1"/>
  <c r="G28" i="3" s="1"/>
  <c r="D15" i="7" l="1"/>
  <c r="D17" i="7" s="1"/>
  <c r="D19" i="7" s="1"/>
  <c r="C31" i="11"/>
  <c r="A32" i="11" s="1"/>
  <c r="A30" i="11"/>
  <c r="D28" i="7"/>
  <c r="E28" i="7" s="1"/>
  <c r="F28" i="7" s="1"/>
  <c r="G28" i="7" s="1"/>
  <c r="A12" i="7"/>
  <c r="C13" i="7"/>
  <c r="C27" i="7"/>
  <c r="C54" i="13"/>
  <c r="D54" i="13" s="1"/>
  <c r="E54" i="13" s="1"/>
  <c r="F54" i="13" s="1"/>
  <c r="G54" i="13" s="1"/>
  <c r="C33" i="13"/>
  <c r="D33" i="13" s="1"/>
  <c r="E33" i="13" s="1"/>
  <c r="F33" i="13" s="1"/>
  <c r="G33" i="13" s="1"/>
  <c r="C62" i="8"/>
  <c r="A63" i="8" s="1"/>
  <c r="C17" i="12"/>
  <c r="A16" i="12"/>
  <c r="C29" i="8"/>
  <c r="A28" i="8"/>
  <c r="A24" i="6"/>
  <c r="C15" i="7" l="1"/>
  <c r="A14" i="7"/>
  <c r="D27" i="7"/>
  <c r="A16" i="7"/>
  <c r="C64" i="8"/>
  <c r="A65" i="8" s="1"/>
  <c r="C19" i="12"/>
  <c r="A20" i="12" s="1"/>
  <c r="A18" i="12"/>
  <c r="C33" i="11"/>
  <c r="A34" i="11" s="1"/>
  <c r="C31" i="8"/>
  <c r="A30" i="8"/>
  <c r="F19" i="3"/>
  <c r="E17" i="3"/>
  <c r="E19" i="3" s="1"/>
  <c r="D15" i="3"/>
  <c r="D17" i="3" s="1"/>
  <c r="D19" i="3" s="1"/>
  <c r="C13" i="3"/>
  <c r="C15" i="3" s="1"/>
  <c r="C17" i="3" s="1"/>
  <c r="C19" i="3" s="1"/>
  <c r="A20" i="3" s="1"/>
  <c r="E27" i="7" l="1"/>
  <c r="C17" i="7"/>
  <c r="A18" i="7" s="1"/>
  <c r="D27" i="3"/>
  <c r="A14" i="3"/>
  <c r="C66" i="8"/>
  <c r="A67" i="8" s="1"/>
  <c r="C35" i="11"/>
  <c r="A36" i="11" s="1"/>
  <c r="A32" i="8"/>
  <c r="C33" i="8"/>
  <c r="A16" i="3"/>
  <c r="D15" i="2"/>
  <c r="D16" i="2" s="1"/>
  <c r="B16" i="2"/>
  <c r="C15" i="2"/>
  <c r="C16" i="2" s="1"/>
  <c r="C10" i="2"/>
  <c r="C11" i="2" s="1"/>
  <c r="M11" i="2" s="1"/>
  <c r="M12" i="2" s="1"/>
  <c r="B11" i="2"/>
  <c r="B26" i="2"/>
  <c r="B6" i="2"/>
  <c r="B21" i="2"/>
  <c r="E20" i="2"/>
  <c r="E21" i="2" s="1"/>
  <c r="D20" i="2"/>
  <c r="D21" i="2" s="1"/>
  <c r="C20" i="2"/>
  <c r="C21" i="2" s="1"/>
  <c r="G25" i="2"/>
  <c r="G26" i="2" s="1"/>
  <c r="F25" i="2"/>
  <c r="F26" i="2" s="1"/>
  <c r="E25" i="2"/>
  <c r="E26" i="2" s="1"/>
  <c r="D25" i="2"/>
  <c r="D26" i="2" s="1"/>
  <c r="C25" i="2"/>
  <c r="C26" i="2" s="1"/>
  <c r="L5" i="2"/>
  <c r="L6" i="2" s="1"/>
  <c r="D5" i="2"/>
  <c r="D6" i="2" s="1"/>
  <c r="E5" i="2"/>
  <c r="E6" i="2" s="1"/>
  <c r="F5" i="2"/>
  <c r="F6" i="2" s="1"/>
  <c r="G5" i="2"/>
  <c r="G6" i="2" s="1"/>
  <c r="H5" i="2"/>
  <c r="H6" i="2" s="1"/>
  <c r="I5" i="2"/>
  <c r="I6" i="2" s="1"/>
  <c r="J5" i="2"/>
  <c r="J6" i="2" s="1"/>
  <c r="K5" i="2"/>
  <c r="K6" i="2" s="1"/>
  <c r="C5" i="2"/>
  <c r="C6" i="2" s="1"/>
  <c r="C19" i="7" l="1"/>
  <c r="F27" i="7"/>
  <c r="C37" i="11"/>
  <c r="D37" i="11" s="1"/>
  <c r="C68" i="8"/>
  <c r="D68" i="8" s="1"/>
  <c r="E68" i="8" s="1"/>
  <c r="F68" i="8" s="1"/>
  <c r="G68" i="8" s="1"/>
  <c r="C35" i="8"/>
  <c r="D35" i="8" s="1"/>
  <c r="E35" i="8" s="1"/>
  <c r="F35" i="8" s="1"/>
  <c r="G35" i="8" s="1"/>
  <c r="A34" i="8"/>
  <c r="A18" i="3"/>
  <c r="E27" i="3"/>
  <c r="M16" i="2"/>
  <c r="M17" i="2" s="1"/>
  <c r="M21" i="2"/>
  <c r="M22" i="2" s="1"/>
  <c r="M6" i="2"/>
  <c r="M7" i="2" s="1"/>
  <c r="M26" i="2"/>
  <c r="M27" i="2" s="1"/>
  <c r="B16" i="1"/>
  <c r="H16" i="1"/>
  <c r="D16" i="1"/>
  <c r="F16" i="1"/>
  <c r="J16" i="1"/>
  <c r="A20" i="7" l="1"/>
  <c r="G27" i="7"/>
  <c r="G29" i="7" s="1"/>
  <c r="B31" i="7" s="1"/>
  <c r="C21" i="7"/>
  <c r="E37" i="11"/>
  <c r="F37" i="11" s="1"/>
  <c r="G37" i="11" s="1"/>
  <c r="F27" i="3"/>
  <c r="D21" i="7" l="1"/>
  <c r="E21" i="7" s="1"/>
  <c r="F21" i="7" s="1"/>
  <c r="G21" i="7" s="1"/>
  <c r="C21" i="3"/>
  <c r="D21" i="3" s="1"/>
  <c r="E21" i="3" s="1"/>
  <c r="F21" i="3" s="1"/>
  <c r="G21" i="3" s="1"/>
  <c r="G27" i="3"/>
  <c r="G29" i="3" s="1"/>
</calcChain>
</file>

<file path=xl/sharedStrings.xml><?xml version="1.0" encoding="utf-8"?>
<sst xmlns="http://schemas.openxmlformats.org/spreadsheetml/2006/main" count="929" uniqueCount="331">
  <si>
    <t>PV</t>
    <phoneticPr fontId="1"/>
  </si>
  <si>
    <t>利率</t>
    <phoneticPr fontId="1"/>
  </si>
  <si>
    <t>元本</t>
    <rPh sb="0" eb="2">
      <t>ガンポン</t>
    </rPh>
    <phoneticPr fontId="1"/>
  </si>
  <si>
    <t>CF</t>
    <phoneticPr fontId="1"/>
  </si>
  <si>
    <t>合計</t>
    <rPh sb="0" eb="2">
      <t>ゴウケイ</t>
    </rPh>
    <phoneticPr fontId="1"/>
  </si>
  <si>
    <t>NPV</t>
    <phoneticPr fontId="1"/>
  </si>
  <si>
    <t>【預金残高】</t>
  </si>
  <si>
    <t>(1年後)</t>
  </si>
  <si>
    <t>(2年後)</t>
  </si>
  <si>
    <t>(3年後)</t>
  </si>
  <si>
    <t>(4年後)</t>
  </si>
  <si>
    <t>(5年後)</t>
  </si>
  <si>
    <t>00/01/01の預金残高</t>
  </si>
  <si>
    <t>00/12/31の預金残高</t>
  </si>
  <si>
    <t>01/12/31の預金残高</t>
  </si>
  <si>
    <t>02/12/31の預金残高</t>
  </si>
  <si>
    <t>03/12/31の預金残高</t>
  </si>
  <si>
    <t>04/12/31の預金残高</t>
  </si>
  <si>
    <t>期待されるFCFを8%/年の割引率で割り引いた場合の正味現在価値NPV</t>
  </si>
  <si>
    <t>正味現在価値NPV</t>
  </si>
  <si>
    <t>差額</t>
  </si>
  <si>
    <t>現在価値PV</t>
  </si>
  <si>
    <t>銀行預金の残高</t>
  </si>
  <si>
    <t xml:space="preserve"> =-26.8/(1.08^5)</t>
    <phoneticPr fontId="1"/>
  </si>
  <si>
    <t xml:space="preserve"> =-10000+2314.8+2143.3+1984.6+1837.6+1701.5</t>
    <phoneticPr fontId="1"/>
  </si>
  <si>
    <t xml:space="preserve"> =-10000+2500.0+1971.9+2222.7+1617.1+1701.5</t>
    <phoneticPr fontId="1"/>
  </si>
  <si>
    <t xml:space="preserve"> =19.3/(1.08^5)</t>
    <phoneticPr fontId="1"/>
  </si>
  <si>
    <t>預金残高累計額
(将来価値FV)</t>
    <rPh sb="9" eb="11">
      <t>ショウライ</t>
    </rPh>
    <rPh sb="11" eb="13">
      <t>カチ</t>
    </rPh>
    <phoneticPr fontId="1"/>
  </si>
  <si>
    <t>(投資時点)</t>
  </si>
  <si>
    <t>各年のFCF</t>
  </si>
  <si>
    <t>×1.10</t>
  </si>
  <si>
    <t>預金残高累計額</t>
  </si>
  <si>
    <t>×1.08</t>
  </si>
  <si>
    <t>各年のFCFを8%／年の利率がある銀行預金へ再投資する場合</t>
    <phoneticPr fontId="1"/>
  </si>
  <si>
    <t>利率8%の銀行預金残高の5年間の推移</t>
    <rPh sb="0" eb="2">
      <t>リリツ</t>
    </rPh>
    <phoneticPr fontId="1"/>
  </si>
  <si>
    <t>銀行預金残高</t>
  </si>
  <si>
    <t>※ 5年後の10,500円を再び預金する機会はない。</t>
  </si>
  <si>
    <t>不規則なFCFのパターンを持つ投資案</t>
  </si>
  <si>
    <t>👉各年のCFを再投資することで生み出されるCFを考える。</t>
  </si>
  <si>
    <t xml:space="preserve">  NPV    </t>
    <phoneticPr fontId="1"/>
  </si>
  <si>
    <t>…</t>
  </si>
  <si>
    <t>予想される各期のFCF</t>
  </si>
  <si>
    <t>期待されるFCFを10%/年の割引率で割り引いた場合の正味現在価値NPV</t>
    <phoneticPr fontId="1"/>
  </si>
  <si>
    <t xml:space="preserve"> =1500/0.1</t>
    <phoneticPr fontId="1"/>
  </si>
  <si>
    <t xml:space="preserve"> =15000</t>
    <phoneticPr fontId="1"/>
  </si>
  <si>
    <t>CF (cash flow: CF) ・割引率の組み合わせとNPV</t>
    <rPh sb="20" eb="22">
      <t>ワリビキ</t>
    </rPh>
    <rPh sb="22" eb="23">
      <t>リツ</t>
    </rPh>
    <rPh sb="24" eb="25">
      <t>ク</t>
    </rPh>
    <rPh sb="26" eb="27">
      <t>ア</t>
    </rPh>
    <phoneticPr fontId="1"/>
  </si>
  <si>
    <t>CF</t>
  </si>
  <si>
    <t>合計   600</t>
  </si>
  <si>
    <t xml:space="preserve"> =-10000.0+2272.7+2892.6+3380.9+2390.5+1552.3+1241.8+8467.1</t>
    <phoneticPr fontId="1"/>
  </si>
  <si>
    <t>年度</t>
  </si>
  <si>
    <t>現在価値</t>
    <phoneticPr fontId="1"/>
  </si>
  <si>
    <t>△2,000</t>
  </si>
  <si>
    <t>①－②</t>
    <phoneticPr fontId="1"/>
  </si>
  <si>
    <t>正味現在価値NPV＝8467.1+10888.2-20000</t>
    <phoneticPr fontId="1"/>
  </si>
  <si>
    <t>(3)　(1)と(2)の結果を利用してこの投資案の正味現在価値NPVを求め、この投資案を評価しなさい。</t>
  </si>
  <si>
    <t>正味現在価値NPVがマイナスのため、この投資案を実行すべきではない。</t>
    <rPh sb="0" eb="6">
      <t>ショウミゲンザイカチ</t>
    </rPh>
    <rPh sb="20" eb="22">
      <t>トウシ</t>
    </rPh>
    <rPh sb="22" eb="23">
      <t>アン</t>
    </rPh>
    <rPh sb="24" eb="26">
      <t>ジッコウ</t>
    </rPh>
    <phoneticPr fontId="1"/>
  </si>
  <si>
    <t>×1.08</t>
    <phoneticPr fontId="1"/>
  </si>
  <si>
    <t>×1.07</t>
  </si>
  <si>
    <t>×1.05</t>
  </si>
  <si>
    <t>①事業からの収入</t>
  </si>
  <si>
    <t>②事業への支出</t>
  </si>
  <si>
    <t>④有利子負債利息</t>
  </si>
  <si>
    <t>⑤税金</t>
  </si>
  <si>
    <t>※ 各年の期末にCFが生じると仮定する。</t>
    <rPh sb="2" eb="3">
      <t>カク</t>
    </rPh>
    <rPh sb="5" eb="7">
      <t>キマツ</t>
    </rPh>
    <rPh sb="11" eb="12">
      <t>ショウ</t>
    </rPh>
    <rPh sb="15" eb="17">
      <t>カテイ</t>
    </rPh>
    <phoneticPr fontId="1"/>
  </si>
  <si>
    <t>預金残高累計額</t>
    <phoneticPr fontId="1"/>
  </si>
  <si>
    <t>00/1/1の預金残高</t>
    <phoneticPr fontId="1"/>
  </si>
  <si>
    <t>×1.07</t>
    <phoneticPr fontId="1"/>
  </si>
  <si>
    <t>図表2-5　リンゴ事業のFCFを再投資した場合の5年後の残高</t>
    <phoneticPr fontId="1"/>
  </si>
  <si>
    <t>図表2-4　毎年の利息500円を再投資した場合の5年後の残高</t>
    <phoneticPr fontId="1"/>
  </si>
  <si>
    <t>【参考】　図表2-3　銀行預金残高の5年間の推移</t>
    <rPh sb="1" eb="3">
      <t>サンコウ</t>
    </rPh>
    <phoneticPr fontId="1"/>
  </si>
  <si>
    <t>※ 5年後のFCF2500円には、再投資の機会はない。</t>
    <phoneticPr fontId="1"/>
  </si>
  <si>
    <t>銀行預金のCF</t>
    <rPh sb="0" eb="4">
      <t>ギンコウヨキン</t>
    </rPh>
    <phoneticPr fontId="1"/>
  </si>
  <si>
    <t>　　元本部分</t>
    <rPh sb="2" eb="6">
      <t>ガンポンブブン</t>
    </rPh>
    <phoneticPr fontId="1"/>
  </si>
  <si>
    <t>　　毎年の利息部分</t>
    <rPh sb="2" eb="4">
      <t>マイトシ</t>
    </rPh>
    <rPh sb="5" eb="9">
      <t>リソクブブン</t>
    </rPh>
    <phoneticPr fontId="1"/>
  </si>
  <si>
    <t>リンゴ事業のFCF</t>
    <phoneticPr fontId="1"/>
  </si>
  <si>
    <t>　　初期投資額</t>
    <rPh sb="2" eb="6">
      <t>ショキトウシ</t>
    </rPh>
    <rPh sb="6" eb="7">
      <t>ガク</t>
    </rPh>
    <phoneticPr fontId="1"/>
  </si>
  <si>
    <t>　　毎年のFCF</t>
    <rPh sb="2" eb="4">
      <t>マイトシ</t>
    </rPh>
    <phoneticPr fontId="1"/>
  </si>
  <si>
    <t>【練習問題1－1】</t>
    <phoneticPr fontId="1"/>
  </si>
  <si>
    <t>種まき</t>
  </si>
  <si>
    <t>収穫</t>
  </si>
  <si>
    <t>1年目</t>
  </si>
  <si>
    <t>2年目</t>
  </si>
  <si>
    <t>3年目</t>
  </si>
  <si>
    <t>4年目</t>
  </si>
  <si>
    <t>5年目</t>
  </si>
  <si>
    <t>【練習問題2－1】</t>
    <phoneticPr fontId="1"/>
  </si>
  <si>
    <t>図表2-5と同じFCFのパターンを持つ投資案A</t>
    <rPh sb="6" eb="7">
      <t>オナ</t>
    </rPh>
    <rPh sb="17" eb="18">
      <t>モ</t>
    </rPh>
    <rPh sb="19" eb="22">
      <t>トウシアン</t>
    </rPh>
    <phoneticPr fontId="1"/>
  </si>
  <si>
    <t>(1)利率7%／年の銀行預金残高の5年間の推移</t>
    <rPh sb="4" eb="6">
      <t>リリツ</t>
    </rPh>
    <rPh sb="9" eb="10">
      <t>ネン</t>
    </rPh>
    <phoneticPr fontId="1"/>
  </si>
  <si>
    <t>(2) 利率10%/年の銀行預金残高の5年間の推移</t>
  </si>
  <si>
    <t>【(1)解答】</t>
    <rPh sb="4" eb="6">
      <t>カイトウ</t>
    </rPh>
    <phoneticPr fontId="1"/>
  </si>
  <si>
    <t>(1) 投資案Aの各年のFCFを年利7%の銀行預金へ再投資する場合</t>
    <phoneticPr fontId="1"/>
  </si>
  <si>
    <t>5年後の銀行預金残高は14,026円、一方、投資案Aの各年のFCFを年利7%の銀行預金へ再投資する場合5年後の銀行預金残高14,377円である。投資案Aを選択すべきである。</t>
    <rPh sb="1" eb="2">
      <t>ネン</t>
    </rPh>
    <rPh sb="2" eb="3">
      <t>ゴ</t>
    </rPh>
    <rPh sb="4" eb="10">
      <t>ギンコウヨキンザンダカ</t>
    </rPh>
    <rPh sb="19" eb="21">
      <t>イッポウ</t>
    </rPh>
    <rPh sb="22" eb="24">
      <t>トウシ</t>
    </rPh>
    <rPh sb="24" eb="25">
      <t>アン</t>
    </rPh>
    <rPh sb="27" eb="29">
      <t>カクトシ</t>
    </rPh>
    <rPh sb="34" eb="36">
      <t>ネンリ</t>
    </rPh>
    <rPh sb="39" eb="41">
      <t>ギンコウ</t>
    </rPh>
    <rPh sb="41" eb="43">
      <t>ヨキン</t>
    </rPh>
    <rPh sb="44" eb="47">
      <t>サイトウシ</t>
    </rPh>
    <rPh sb="49" eb="51">
      <t>バアイ</t>
    </rPh>
    <rPh sb="52" eb="54">
      <t>ネンゴ</t>
    </rPh>
    <rPh sb="55" eb="57">
      <t>ギンコウ</t>
    </rPh>
    <rPh sb="57" eb="59">
      <t>ヨキン</t>
    </rPh>
    <rPh sb="59" eb="61">
      <t>ザンダカ</t>
    </rPh>
    <rPh sb="67" eb="68">
      <t>エン</t>
    </rPh>
    <rPh sb="72" eb="75">
      <t>トウシアン</t>
    </rPh>
    <rPh sb="77" eb="79">
      <t>センタク</t>
    </rPh>
    <phoneticPr fontId="1"/>
  </si>
  <si>
    <t>【(2)解答】</t>
    <rPh sb="4" eb="6">
      <t>カイトウ</t>
    </rPh>
    <phoneticPr fontId="1"/>
  </si>
  <si>
    <t>5年後の銀行預金残高は16,105円、一方、投資案Aの各年のFCFを年利7%の銀行預金へ再投資する場合5年後の銀行預金残高15,263円である。銀行預金を選択すべきである。</t>
    <rPh sb="1" eb="2">
      <t>ネン</t>
    </rPh>
    <rPh sb="2" eb="3">
      <t>ゴ</t>
    </rPh>
    <rPh sb="4" eb="10">
      <t>ギンコウヨキンザンダカ</t>
    </rPh>
    <rPh sb="19" eb="21">
      <t>イッポウ</t>
    </rPh>
    <rPh sb="22" eb="24">
      <t>トウシ</t>
    </rPh>
    <rPh sb="24" eb="25">
      <t>アン</t>
    </rPh>
    <rPh sb="27" eb="29">
      <t>カクトシ</t>
    </rPh>
    <rPh sb="34" eb="36">
      <t>ネンリ</t>
    </rPh>
    <rPh sb="39" eb="41">
      <t>ギンコウ</t>
    </rPh>
    <rPh sb="41" eb="43">
      <t>ヨキン</t>
    </rPh>
    <rPh sb="44" eb="47">
      <t>サイトウシ</t>
    </rPh>
    <rPh sb="49" eb="51">
      <t>バアイ</t>
    </rPh>
    <rPh sb="52" eb="54">
      <t>ネンゴ</t>
    </rPh>
    <rPh sb="55" eb="57">
      <t>ギンコウ</t>
    </rPh>
    <rPh sb="57" eb="59">
      <t>ヨキン</t>
    </rPh>
    <rPh sb="59" eb="61">
      <t>ザンダカ</t>
    </rPh>
    <rPh sb="67" eb="68">
      <t>エン</t>
    </rPh>
    <rPh sb="72" eb="76">
      <t>ギンコウヨキン</t>
    </rPh>
    <rPh sb="77" eb="79">
      <t>センタク</t>
    </rPh>
    <phoneticPr fontId="1"/>
  </si>
  <si>
    <t>【練習問題2－2】</t>
    <phoneticPr fontId="1"/>
  </si>
  <si>
    <t>不規則なFCFのパターンを持つ投資案B</t>
    <phoneticPr fontId="1"/>
  </si>
  <si>
    <t>【解答】</t>
    <rPh sb="1" eb="3">
      <t>カイトウ</t>
    </rPh>
    <phoneticPr fontId="1"/>
  </si>
  <si>
    <t>5年後の銀行預金残高は14,693円、一方、投資案Bの各年のFCFを年利8%の銀行預金へ再投資する場合5年後の銀行預金残高14,713円である。投資案Bを選択すべきである。</t>
    <rPh sb="1" eb="2">
      <t>ネン</t>
    </rPh>
    <rPh sb="2" eb="3">
      <t>ゴ</t>
    </rPh>
    <rPh sb="4" eb="10">
      <t>ギンコウヨキンザンダカ</t>
    </rPh>
    <rPh sb="19" eb="21">
      <t>イッポウ</t>
    </rPh>
    <rPh sb="22" eb="24">
      <t>トウシ</t>
    </rPh>
    <rPh sb="24" eb="25">
      <t>アン</t>
    </rPh>
    <rPh sb="27" eb="29">
      <t>カクトシ</t>
    </rPh>
    <rPh sb="34" eb="36">
      <t>ネンリ</t>
    </rPh>
    <rPh sb="39" eb="41">
      <t>ギンコウ</t>
    </rPh>
    <rPh sb="41" eb="43">
      <t>ヨキン</t>
    </rPh>
    <rPh sb="44" eb="47">
      <t>サイトウシ</t>
    </rPh>
    <rPh sb="49" eb="51">
      <t>バアイ</t>
    </rPh>
    <rPh sb="52" eb="54">
      <t>ネンゴ</t>
    </rPh>
    <rPh sb="55" eb="57">
      <t>ギンコウ</t>
    </rPh>
    <rPh sb="57" eb="59">
      <t>ヨキン</t>
    </rPh>
    <rPh sb="59" eb="61">
      <t>ザンダカ</t>
    </rPh>
    <rPh sb="67" eb="68">
      <t>エン</t>
    </rPh>
    <rPh sb="77" eb="79">
      <t>センタク</t>
    </rPh>
    <phoneticPr fontId="1"/>
  </si>
  <si>
    <t>次のような不規則なFCFのパターンを持つ投資案Bについて、利率を8%／年とする銀行預金と比べ投資判断を行いなさい。</t>
  </si>
  <si>
    <t>図表2.5と同じFCFのパターンを持つ投資案Aについて、(1)年利7%の銀行預金と比べ投資判断を行いなさい。続いて、(2)年利10%の銀行預金と比べ投資判断を行いなさい。</t>
    <phoneticPr fontId="1"/>
  </si>
  <si>
    <t>【練習問題2－3】</t>
    <phoneticPr fontId="1"/>
  </si>
  <si>
    <t>投資案Aの予想されるFCFのパターン</t>
  </si>
  <si>
    <t>【練習問題3－1】</t>
    <phoneticPr fontId="1"/>
  </si>
  <si>
    <t>投資案Aの予想されるFCFのパターンは以下の表に要約されている。この投資案Aに対する代替的投資案は、8%/年の利率がある銀行預金である。以下の問いに答えなさい。</t>
    <phoneticPr fontId="1"/>
  </si>
  <si>
    <t>(1) この投資案Aの正味現在価値NPVを以下の表を埋める作業を通じて求めよ。</t>
    <phoneticPr fontId="1"/>
  </si>
  <si>
    <t>期待されるFCF</t>
    <rPh sb="0" eb="2">
      <t>キタイ</t>
    </rPh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</si>
  <si>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0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</si>
  <si>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</si>
  <si>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</si>
  <si>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</si>
  <si>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4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</si>
  <si>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5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</si>
  <si>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0</t>
    </r>
    <r>
      <rPr>
        <sz val="11"/>
        <color theme="1"/>
        <rFont val="游ゴシック"/>
        <family val="2"/>
        <charset val="128"/>
        <scheme val="minor"/>
      </rPr>
      <t>時点の預金残高</t>
    </r>
    <rPh sb="2" eb="4">
      <t>ジテン</t>
    </rPh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</si>
  <si>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時点の預金残高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</si>
  <si>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時点の預金残高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</si>
  <si>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時点の預金残高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</si>
  <si>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4</t>
    </r>
    <r>
      <rPr>
        <sz val="11"/>
        <color theme="1"/>
        <rFont val="游ゴシック"/>
        <family val="2"/>
        <charset val="128"/>
        <scheme val="minor"/>
      </rPr>
      <t>時点の預金残高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</si>
  <si>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5</t>
    </r>
    <r>
      <rPr>
        <sz val="11"/>
        <color theme="1"/>
        <rFont val="游ゴシック"/>
        <family val="2"/>
        <charset val="128"/>
        <scheme val="minor"/>
      </rPr>
      <t>時点の預金残高</t>
    </r>
    <phoneticPr fontId="1"/>
  </si>
  <si>
    <r>
      <t>※ T</t>
    </r>
    <r>
      <rPr>
        <vertAlign val="subscript"/>
        <sz val="11"/>
        <color theme="1"/>
        <rFont val="游ゴシック"/>
        <family val="3"/>
        <charset val="128"/>
        <scheme val="minor"/>
      </rPr>
      <t>5</t>
    </r>
    <r>
      <rPr>
        <sz val="11"/>
        <color theme="1"/>
        <rFont val="游ゴシック"/>
        <family val="2"/>
        <charset val="128"/>
        <scheme val="minor"/>
      </rPr>
      <t>期のFCF2500には投資機会はない。</t>
    </r>
    <phoneticPr fontId="1"/>
  </si>
  <si>
    <r>
      <t>(b)初期投資額を8%/年の利率で投資する場合のT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時点の残高を求めよ。</t>
    </r>
    <phoneticPr fontId="1"/>
  </si>
  <si>
    <t>投資案Aの将来価値FV</t>
    <phoneticPr fontId="1"/>
  </si>
  <si>
    <t>【練習問題3－2】</t>
    <phoneticPr fontId="1"/>
  </si>
  <si>
    <t>投資案Bの予想されるFCFのパターンは以下の表に要約されている。この不規則なFCFのパターンを持つ投資案Bに対する代替的投資案は、8%/年の利率がある銀行預金である。以下の問いに答えなさい。</t>
    <phoneticPr fontId="1"/>
  </si>
  <si>
    <t>投資案Bの予想されるFCFのパターン</t>
    <phoneticPr fontId="1"/>
  </si>
  <si>
    <t>(1) この投資案Bの正味現在価値NPVを以下の表を埋める作業を通じて求めなさい。</t>
    <phoneticPr fontId="1"/>
  </si>
  <si>
    <r>
      <t>毎期のFCFを8%/年の利率で再投資する場合のT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時点の残高を求めよ</t>
    </r>
    <rPh sb="15" eb="16">
      <t>サイ</t>
    </rPh>
    <phoneticPr fontId="1"/>
  </si>
  <si>
    <t>投資案Bの将来価値FV</t>
    <phoneticPr fontId="1"/>
  </si>
  <si>
    <r>
      <t>表(a)と表(b)を参照されたい。T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時点の投資案Bの将来価値FVと代替的投資案である銀行預金の差額の比較から、T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で投資案Aは銀行預金残高と比べて19.3円大きい将来価値を持つことが予想される。投資案Bを選択すべきである。この差額19.3円を現在価値に変換し、(1)で求めた正味現在価値NPVと等しくなることについては、表(b)を参照されたい。</t>
    </r>
    <rPh sb="0" eb="1">
      <t>ヒョウ</t>
    </rPh>
    <rPh sb="5" eb="6">
      <t>ヒョウ</t>
    </rPh>
    <rPh sb="10" eb="12">
      <t>サンショウ</t>
    </rPh>
    <rPh sb="19" eb="21">
      <t>ジテン</t>
    </rPh>
    <rPh sb="51" eb="53">
      <t>ヒカク</t>
    </rPh>
    <rPh sb="66" eb="72">
      <t>ギンコウヨキンザンダカ</t>
    </rPh>
    <rPh sb="73" eb="74">
      <t>クラ</t>
    </rPh>
    <rPh sb="80" eb="81">
      <t>エン</t>
    </rPh>
    <rPh sb="81" eb="82">
      <t>オオ</t>
    </rPh>
    <rPh sb="84" eb="88">
      <t>ショウライカチ</t>
    </rPh>
    <rPh sb="89" eb="90">
      <t>モ</t>
    </rPh>
    <rPh sb="94" eb="96">
      <t>ヨソウ</t>
    </rPh>
    <rPh sb="100" eb="103">
      <t>トウシアン</t>
    </rPh>
    <rPh sb="105" eb="107">
      <t>センタク</t>
    </rPh>
    <rPh sb="163" eb="164">
      <t>ヒョウ</t>
    </rPh>
    <rPh sb="168" eb="170">
      <t>サンショウ</t>
    </rPh>
    <phoneticPr fontId="1"/>
  </si>
  <si>
    <r>
      <t>表(a)と表(b)を参照されたい。T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時点の投資案Aの将来価値FVと代替的投資案である銀行預金の差額の比較から、T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で投資案Aは銀行預金残高と比べて26.8円小さい将来価値を持つことが予想される。投資案Aを選択すべきではない。この差額26.8円を現在価値に変換し、(1)で求めた正味現在価値NPVと等しくなることについては、表(b)を参照されたい。</t>
    </r>
    <rPh sb="0" eb="1">
      <t>ヒョウ</t>
    </rPh>
    <rPh sb="5" eb="6">
      <t>ヒョウ</t>
    </rPh>
    <rPh sb="10" eb="12">
      <t>サンショウ</t>
    </rPh>
    <rPh sb="19" eb="21">
      <t>ジテン</t>
    </rPh>
    <rPh sb="51" eb="53">
      <t>ヒカク</t>
    </rPh>
    <rPh sb="66" eb="72">
      <t>ギンコウヨキンザンダカ</t>
    </rPh>
    <rPh sb="73" eb="74">
      <t>クラ</t>
    </rPh>
    <rPh sb="80" eb="81">
      <t>エン</t>
    </rPh>
    <rPh sb="81" eb="82">
      <t>チイ</t>
    </rPh>
    <rPh sb="84" eb="88">
      <t>ショウライカチ</t>
    </rPh>
    <rPh sb="89" eb="90">
      <t>モ</t>
    </rPh>
    <rPh sb="94" eb="96">
      <t>ヨソウ</t>
    </rPh>
    <rPh sb="100" eb="103">
      <t>トウシアン</t>
    </rPh>
    <rPh sb="105" eb="107">
      <t>センタク</t>
    </rPh>
    <rPh sb="164" eb="165">
      <t>ヒョウ</t>
    </rPh>
    <rPh sb="169" eb="171">
      <t>サンショウ</t>
    </rPh>
    <phoneticPr fontId="1"/>
  </si>
  <si>
    <t>※ 5年後のFCF2300円には、再投資の機会はない。</t>
    <phoneticPr fontId="1"/>
  </si>
  <si>
    <t>※ 5年後のFCF2700円には、再投資の機会はない。</t>
    <phoneticPr fontId="1"/>
  </si>
  <si>
    <t>次のような不規則なFCFのパターンを持つ2つの投資案CとDについて、どちらが優れた投資案なのかを理由とともに述べなさい。代替的投資案は利率8％の銀行預金とする。</t>
    <rPh sb="60" eb="63">
      <t>ダイタイテキ</t>
    </rPh>
    <rPh sb="63" eb="66">
      <t>トウシアン</t>
    </rPh>
    <rPh sb="67" eb="69">
      <t>リリツ</t>
    </rPh>
    <rPh sb="72" eb="76">
      <t>ギンコウヨキン</t>
    </rPh>
    <phoneticPr fontId="1"/>
  </si>
  <si>
    <t>計算するまでもなく、各年のFCFの再投資から得られるCFを考慮すれば、投資案Dが投資案Cよりも優れている。投資案Dが生み出すFCFの再投資から得られるCFは、投資案Cのそれよりも大きくなる。
以下では、例として、毎年のFCFを直ちに利率8%／年で銀行預金する場合を2つの投資案で検討する。この投資判断に利率に関係ない。例えば、利率5%／年で考えても同じ結論に至る。</t>
    <rPh sb="96" eb="98">
      <t>イカ</t>
    </rPh>
    <rPh sb="101" eb="102">
      <t>レイ</t>
    </rPh>
    <rPh sb="129" eb="131">
      <t>バアイ</t>
    </rPh>
    <rPh sb="135" eb="138">
      <t>トウシアン</t>
    </rPh>
    <rPh sb="139" eb="141">
      <t>ケントウ</t>
    </rPh>
    <rPh sb="146" eb="150">
      <t>トウシハンダン</t>
    </rPh>
    <rPh sb="151" eb="153">
      <t>リリツ</t>
    </rPh>
    <rPh sb="154" eb="156">
      <t>カンケイ</t>
    </rPh>
    <rPh sb="159" eb="160">
      <t>タト</t>
    </rPh>
    <rPh sb="163" eb="165">
      <t>リリツ</t>
    </rPh>
    <rPh sb="168" eb="169">
      <t>ネン</t>
    </rPh>
    <rPh sb="170" eb="171">
      <t>カンガ</t>
    </rPh>
    <rPh sb="174" eb="175">
      <t>オナ</t>
    </rPh>
    <rPh sb="176" eb="178">
      <t>ケツロン</t>
    </rPh>
    <rPh sb="179" eb="180">
      <t>イタ</t>
    </rPh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</si>
  <si>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6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</si>
  <si>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7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</si>
  <si>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7</t>
    </r>
    <r>
      <rPr>
        <sz val="11"/>
        <color theme="1"/>
        <rFont val="游ゴシック"/>
        <family val="2"/>
        <charset val="128"/>
        <scheme val="minor"/>
      </rPr>
      <t>以降毎期1500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</si>
  <si>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n</t>
    </r>
    <phoneticPr fontId="1"/>
  </si>
  <si>
    <t>【練習問題4－3】</t>
    <phoneticPr fontId="1"/>
  </si>
  <si>
    <t>【練習問題4－2】</t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</si>
  <si>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6</t>
    </r>
    <r>
      <rPr>
        <sz val="11"/>
        <color theme="1"/>
        <rFont val="游ゴシック"/>
        <family val="2"/>
        <charset val="128"/>
        <scheme val="minor"/>
      </rPr>
      <t>時点の価値=(1500/0.1)</t>
    </r>
    <rPh sb="2" eb="4">
      <t>ジテン</t>
    </rPh>
    <rPh sb="5" eb="7">
      <t>カチ</t>
    </rPh>
    <phoneticPr fontId="1"/>
  </si>
  <si>
    <r>
      <t>(2)　T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期からT</t>
    </r>
    <r>
      <rPr>
        <vertAlign val="subscript"/>
        <sz val="11"/>
        <color theme="1"/>
        <rFont val="游ゴシック"/>
        <family val="3"/>
        <charset val="128"/>
        <scheme val="minor"/>
      </rPr>
      <t>6</t>
    </r>
    <r>
      <rPr>
        <sz val="11"/>
        <color theme="1"/>
        <rFont val="游ゴシック"/>
        <family val="2"/>
        <charset val="128"/>
        <scheme val="minor"/>
      </rPr>
      <t>期にかけて生じると予想されるFCF2500の割引現在価値PVの合計を計算しなさい。</t>
    </r>
    <phoneticPr fontId="1"/>
  </si>
  <si>
    <r>
      <t>(1)　T</t>
    </r>
    <r>
      <rPr>
        <vertAlign val="subscript"/>
        <sz val="11"/>
        <color theme="1"/>
        <rFont val="游ゴシック"/>
        <family val="3"/>
        <charset val="128"/>
        <scheme val="minor"/>
      </rPr>
      <t>7</t>
    </r>
    <r>
      <rPr>
        <sz val="11"/>
        <color theme="1"/>
        <rFont val="游ゴシック"/>
        <family val="2"/>
        <charset val="128"/>
        <scheme val="minor"/>
      </rPr>
      <t>期以降に生じると予想されるFCF1500の割引現在価値の合計を計算しなさい。</t>
    </r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</si>
  <si>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7</t>
    </r>
    <r>
      <rPr>
        <sz val="11"/>
        <color theme="1"/>
        <rFont val="游ゴシック"/>
        <family val="2"/>
        <charset val="128"/>
        <scheme val="minor"/>
      </rPr>
      <t>期以降も2500のFCFが各期に生じると仮定して考える。</t>
    </r>
    <rPh sb="2" eb="3">
      <t>キ</t>
    </rPh>
    <rPh sb="3" eb="5">
      <t>イコウ</t>
    </rPh>
    <rPh sb="15" eb="17">
      <t>カクキ</t>
    </rPh>
    <rPh sb="18" eb="19">
      <t>ショウ</t>
    </rPh>
    <rPh sb="22" eb="24">
      <t>カテイ</t>
    </rPh>
    <rPh sb="26" eb="27">
      <t>カンガ</t>
    </rPh>
    <phoneticPr fontId="1"/>
  </si>
  <si>
    <r>
      <t>②T</t>
    </r>
    <r>
      <rPr>
        <vertAlign val="subscript"/>
        <sz val="11"/>
        <color theme="1"/>
        <rFont val="游ゴシック"/>
        <family val="3"/>
        <charset val="128"/>
        <scheme val="minor"/>
      </rPr>
      <t>7</t>
    </r>
    <r>
      <rPr>
        <sz val="11"/>
        <color theme="1"/>
        <rFont val="游ゴシック"/>
        <family val="2"/>
        <charset val="128"/>
        <scheme val="minor"/>
      </rPr>
      <t>以降のFCF2500のT</t>
    </r>
    <r>
      <rPr>
        <vertAlign val="subscript"/>
        <sz val="11"/>
        <color theme="1"/>
        <rFont val="游ゴシック"/>
        <family val="3"/>
        <charset val="128"/>
        <scheme val="minor"/>
      </rPr>
      <t>0</t>
    </r>
    <r>
      <rPr>
        <sz val="11"/>
        <color theme="1"/>
        <rFont val="游ゴシック"/>
        <family val="2"/>
        <charset val="128"/>
        <scheme val="minor"/>
      </rPr>
      <t>時点の価値=(2500/0.1)*(1/1.1^6)</t>
    </r>
    <rPh sb="3" eb="5">
      <t>イコウ</t>
    </rPh>
    <rPh sb="16" eb="18">
      <t>ジテン</t>
    </rPh>
    <rPh sb="19" eb="21">
      <t>カチ</t>
    </rPh>
    <phoneticPr fontId="1"/>
  </si>
  <si>
    <t>【練習問題4－4】</t>
    <rPh sb="1" eb="5">
      <t>レンシュウモンダイ</t>
    </rPh>
    <phoneticPr fontId="1"/>
  </si>
  <si>
    <t>【練習問題5－1】</t>
    <phoneticPr fontId="1"/>
  </si>
  <si>
    <t>次の表のようなFCFの「パターン1」が毎期期待される投資案のFCFの期待値とそのリスクを求めなさい。</t>
  </si>
  <si>
    <t>パターン1</t>
  </si>
  <si>
    <t>年間のFCFが0円である確率</t>
  </si>
  <si>
    <t>1／5あるいは20%</t>
  </si>
  <si>
    <t>年間のFCFが5,000円である確率</t>
  </si>
  <si>
    <t>2／5あるいは40%</t>
  </si>
  <si>
    <t xml:space="preserve">年間のFCFが10,000円である確率 </t>
  </si>
  <si>
    <t>FCF</t>
    <phoneticPr fontId="1"/>
  </si>
  <si>
    <t>確率</t>
    <rPh sb="0" eb="2">
      <t>カクリツ</t>
    </rPh>
    <phoneticPr fontId="1"/>
  </si>
  <si>
    <t>期待値</t>
    <rPh sb="0" eb="3">
      <t>キタイチ</t>
    </rPh>
    <phoneticPr fontId="1"/>
  </si>
  <si>
    <t>リスク（標準偏差）</t>
    <rPh sb="4" eb="8">
      <t>ヒョウジュンヘンサ</t>
    </rPh>
    <phoneticPr fontId="1"/>
  </si>
  <si>
    <t>リスク（分散）</t>
    <rPh sb="4" eb="6">
      <t>ブンサン</t>
    </rPh>
    <phoneticPr fontId="1"/>
  </si>
  <si>
    <t>パターン2</t>
    <phoneticPr fontId="1"/>
  </si>
  <si>
    <t>パターン3</t>
    <phoneticPr fontId="1"/>
  </si>
  <si>
    <t>3／5あるいは60%</t>
  </si>
  <si>
    <t>パターン4</t>
    <phoneticPr fontId="1"/>
  </si>
  <si>
    <t>1／10あるいは10%</t>
  </si>
  <si>
    <t>2／10あるいは20%</t>
  </si>
  <si>
    <t>7／10あるいは70%</t>
  </si>
  <si>
    <t>（割引率5％）</t>
  </si>
  <si>
    <t>（割引率6％）</t>
  </si>
  <si>
    <t>（割引率7％）</t>
  </si>
  <si>
    <t>払い出された収穫量30kgを消費せずに再度植えた場合の総収穫量の推移予想 （単位kg）</t>
    <phoneticPr fontId="1"/>
  </si>
  <si>
    <t>合計</t>
  </si>
  <si>
    <r>
      <t>T</t>
    </r>
    <r>
      <rPr>
        <vertAlign val="subscript"/>
        <sz val="11"/>
        <rFont val="游ゴシック"/>
        <family val="3"/>
        <charset val="128"/>
        <scheme val="minor"/>
      </rPr>
      <t>0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</si>
  <si>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1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</si>
  <si>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2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</si>
  <si>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3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</si>
  <si>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4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</si>
  <si>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5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</si>
  <si>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6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</si>
  <si>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7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</si>
  <si>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n</t>
    </r>
    <phoneticPr fontId="1"/>
  </si>
  <si>
    <r>
      <t>T</t>
    </r>
    <r>
      <rPr>
        <vertAlign val="sub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以降毎期1500</t>
    </r>
    <phoneticPr fontId="1"/>
  </si>
  <si>
    <t>次の条件で預金の価値を計算せよ。手元の10,000円を5%／年の利率で銀行に預金する。3年後にこの預金を引き出す場合、この預金の現在価値PVと正味現在価値NPVを求めよ。</t>
  </si>
  <si>
    <t>【練習問題5－2】</t>
    <phoneticPr fontId="1"/>
  </si>
  <si>
    <t>1年後に引き出す預金の現在価値</t>
  </si>
  <si>
    <t>(預金時)</t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</si>
  <si>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0</t>
    </r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</si>
  <si>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1</t>
    </r>
  </si>
  <si>
    <t>2年後に引き出す預金の現在価値</t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</si>
  <si>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2</t>
    </r>
  </si>
  <si>
    <t>3年後に引き出す預金の現在価値</t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</si>
  <si>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3</t>
    </r>
  </si>
  <si>
    <t>【練習問題6－１】</t>
    <phoneticPr fontId="1"/>
  </si>
  <si>
    <t>現在価値の合計</t>
  </si>
  <si>
    <t>【事業の価値】</t>
  </si>
  <si>
    <t>【負債の価値】</t>
  </si>
  <si>
    <t>銀行への支払利息</t>
  </si>
  <si>
    <t>【株主資本価値】</t>
  </si>
  <si>
    <t>FCFの期待値</t>
  </si>
  <si>
    <t>株主に分配可能なCFの期待値</t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</si>
  <si>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</si>
  <si>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</si>
  <si>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n</t>
    </r>
  </si>
  <si>
    <t>　　株主資本コストをxとする。</t>
    <phoneticPr fontId="1"/>
  </si>
  <si>
    <t>(1)　100を有利子負債、500を株式発行により調達する場合</t>
    <phoneticPr fontId="1"/>
  </si>
  <si>
    <t>(2)　200を有利子負債、400を株式発行により調達する場合</t>
    <phoneticPr fontId="1"/>
  </si>
  <si>
    <t>(3)　300を有利子負債、300を株式発行により調達する場合</t>
    <phoneticPr fontId="1"/>
  </si>
  <si>
    <t>【練習問題7－1】</t>
    <phoneticPr fontId="1"/>
  </si>
  <si>
    <t>単位：万円／年</t>
  </si>
  <si>
    <t>③税引前FCF</t>
  </si>
  <si>
    <t>⑥負債利息控除前・税引後FCF</t>
  </si>
  <si>
    <t>⑦株主に分配可能なCF</t>
  </si>
  <si>
    <t>⑧節税額（支払利息の40%）</t>
  </si>
  <si>
    <t>(営業収益)</t>
  </si>
  <si>
    <t>(営業費用)</t>
  </si>
  <si>
    <t>(事業から生じる税引前営業利益)</t>
  </si>
  <si>
    <t>(③－④)</t>
  </si>
  <si>
    <t>①－②</t>
  </si>
  <si>
    <t>×40%　</t>
  </si>
  <si>
    <t>③－⑤</t>
  </si>
  <si>
    <t>⑥－④</t>
  </si>
  <si>
    <t>　④×40%</t>
  </si>
  <si>
    <t>(a)この事業の価値</t>
  </si>
  <si>
    <t>(b)正味現在価値net present value</t>
  </si>
  <si>
    <t>(c)株主資本価値</t>
  </si>
  <si>
    <t>(d)株主資本コスト</t>
  </si>
  <si>
    <t>　　株主資本コストをxとおくと、</t>
    <phoneticPr fontId="1"/>
  </si>
  <si>
    <t>(h)加重平均資本コストWACCを求めよ。</t>
  </si>
  <si>
    <t>④有利子負債利息</t>
    <phoneticPr fontId="1"/>
  </si>
  <si>
    <t>(c)有利子負債価値</t>
    <rPh sb="1" eb="2">
      <t>ユウ</t>
    </rPh>
    <rPh sb="2" eb="4">
      <t>リシ</t>
    </rPh>
    <rPh sb="4" eb="6">
      <t>フサイ</t>
    </rPh>
    <rPh sb="6" eb="8">
      <t>カチ</t>
    </rPh>
    <phoneticPr fontId="1"/>
  </si>
  <si>
    <t>(d)節税効果の価値</t>
    <rPh sb="3" eb="7">
      <t>セツゼイコウカ</t>
    </rPh>
    <rPh sb="8" eb="10">
      <t>カチ</t>
    </rPh>
    <phoneticPr fontId="1"/>
  </si>
  <si>
    <t>(e)企業価値</t>
    <phoneticPr fontId="1"/>
  </si>
  <si>
    <t>(f)株主資本価値</t>
    <phoneticPr fontId="1"/>
  </si>
  <si>
    <t>(g)株主資本コスト</t>
    <phoneticPr fontId="1"/>
  </si>
  <si>
    <t>(a)この事業の価値（有利子負債なしを仮定する）</t>
    <rPh sb="11" eb="16">
      <t>ユウリシフサイ</t>
    </rPh>
    <rPh sb="19" eb="21">
      <t>カテイ</t>
    </rPh>
    <phoneticPr fontId="1"/>
  </si>
  <si>
    <t>(h)加重平均資本コストWACCを求めよ。</t>
    <phoneticPr fontId="1"/>
  </si>
  <si>
    <t>計算のみ</t>
    <rPh sb="0" eb="2">
      <t>ケイサン</t>
    </rPh>
    <phoneticPr fontId="1"/>
  </si>
  <si>
    <t>(3) 20,000万円を借入（有利子負債）、20,000万円を株主からの出資により調達する場合</t>
    <phoneticPr fontId="1"/>
  </si>
  <si>
    <t>(2) 10,000万円を借入（有利子負債）、30,000万円を株主からの出資により調達する場合</t>
    <phoneticPr fontId="1"/>
  </si>
  <si>
    <t>(1) 初期投資額40,000万円を全額株主からの出資により調達する場合</t>
    <phoneticPr fontId="1"/>
  </si>
  <si>
    <r>
      <t>(2) 毎期のFCFを8%/年の利率で投資した場合T5時点の残高（つまり、投資案Bの将来価値FV）を、次の表(a)を埋める作業を通じて求めなさい。初期投資額を8%/年の利率で投資した場合T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を、次の表(b)を埋める作業を通じて求めなさい。また、T5時点の投資案Bの将来価値FVと代替的投資案である銀行預金の差額を比較し、投資判断を行いなさい。この差額を現在価値に変換し、(1)で求めた正味現在価値NPVと等しくなることを確認しなさい。</t>
    </r>
  </si>
  <si>
    <r>
      <t>①T</t>
    </r>
    <r>
      <rPr>
        <vertAlign val="subscript"/>
        <sz val="11"/>
        <color theme="1"/>
        <rFont val="游ゴシック"/>
        <family val="3"/>
        <charset val="128"/>
        <scheme val="minor"/>
      </rPr>
      <t>6</t>
    </r>
    <r>
      <rPr>
        <sz val="11"/>
        <color theme="1"/>
        <rFont val="游ゴシック"/>
        <family val="2"/>
        <charset val="128"/>
        <scheme val="minor"/>
      </rPr>
      <t>時点の価値=(2500/0.1)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</si>
  <si>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投資案C</t>
    </r>
    <r>
      <rPr>
        <sz val="11"/>
        <color theme="1"/>
        <rFont val="游ゴシック"/>
        <family val="2"/>
        <charset val="128"/>
        <scheme val="minor"/>
      </rPr>
      <t>の各年のFCFを8%／年の利率がある銀行預金へ再投資する場合</t>
    </r>
    <rPh sb="0" eb="2">
      <t>トウシ</t>
    </rPh>
    <rPh sb="2" eb="3">
      <t>アン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</si>
  <si>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投資案D</t>
    </r>
    <r>
      <rPr>
        <sz val="11"/>
        <color theme="1"/>
        <rFont val="游ゴシック"/>
        <family val="2"/>
        <charset val="128"/>
        <scheme val="minor"/>
      </rPr>
      <t>の各年のFCFを8%／年の利率がある銀行預金へ再投資する場合</t>
    </r>
    <rPh sb="0" eb="2">
      <t>トウシ</t>
    </rPh>
    <rPh sb="2" eb="3">
      <t>アン</t>
    </rPh>
    <phoneticPr fontId="1"/>
  </si>
  <si>
    <t>投資案Cの5年後の銀行預金残高は14,576円、一方、投資案Dのそれは14,757円である。投資案Dの方が優れていることがわかる。</t>
    <rPh sb="6" eb="7">
      <t>ネン</t>
    </rPh>
    <rPh sb="7" eb="8">
      <t>ゴ</t>
    </rPh>
    <rPh sb="9" eb="15">
      <t>ギンコウヨキンザンダカ</t>
    </rPh>
    <rPh sb="24" eb="26">
      <t>イッポウ</t>
    </rPh>
    <rPh sb="51" eb="52">
      <t>ホウ</t>
    </rPh>
    <rPh sb="53" eb="54">
      <t>スグ</t>
    </rPh>
    <phoneticPr fontId="1"/>
  </si>
  <si>
    <r>
      <t>(2) 投資案Aが生み出す毎期のFCFを8%/年の利率で再投資した場合T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時点の残高（つまり、投資案Aの将来価値FV）を、次の表(a)を埋める作業を通じて求めなさい。(b)初期投資額を8%/年の利率で投資した場合T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時点の残高を、次の表(b)を埋める作業を通じて求めなさい。また、T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時点の投資案Aの将来価値FVと代替的投資案である銀行預金の差額を比較し、投資判断を行いなさい。この差額を現在価値に変換し、(1)で求めた正味現在価値NPVと等しくなることを確認しなさい。</t>
    </r>
    <phoneticPr fontId="1"/>
  </si>
  <si>
    <r>
      <t>(a)　毎期のFCFを8%/年の利率で再投資する場合のT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時点の残高を求めよ。</t>
    </r>
    <rPh sb="19" eb="20">
      <t>サイ</t>
    </rPh>
    <phoneticPr fontId="1"/>
  </si>
  <si>
    <r>
      <t>(b)　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時点の投資案Aの将来価値FVとT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5</t>
    </r>
    <r>
      <rPr>
        <b/>
        <sz val="11"/>
        <color theme="1"/>
        <rFont val="游ゴシック"/>
        <family val="3"/>
        <charset val="128"/>
        <scheme val="minor"/>
      </rPr>
      <t>時点の銀行預金残高との差額の現在価値PVを求めよ</t>
    </r>
    <rPh sb="9" eb="12">
      <t>トウシアン</t>
    </rPh>
    <rPh sb="14" eb="18">
      <t>ショウライカチ</t>
    </rPh>
    <rPh sb="34" eb="36">
      <t>サガク</t>
    </rPh>
    <rPh sb="37" eb="41">
      <t>ゲンザイカチ</t>
    </rPh>
    <phoneticPr fontId="1"/>
  </si>
  <si>
    <t>資産</t>
  </si>
  <si>
    <t>負債</t>
  </si>
  <si>
    <t>純資産</t>
  </si>
  <si>
    <t>現金</t>
  </si>
  <si>
    <t>売掛金</t>
  </si>
  <si>
    <t>商品</t>
  </si>
  <si>
    <t>建物</t>
  </si>
  <si>
    <t>買掛金</t>
  </si>
  <si>
    <t>借入金</t>
  </si>
  <si>
    <t>未払利息</t>
  </si>
  <si>
    <t>資本金</t>
  </si>
  <si>
    <t>純利益</t>
  </si>
  <si>
    <t>2月の資産・負債・純資産の増減表（貸借対照表に対応）</t>
  </si>
  <si>
    <t>2月1日(期首残高)</t>
  </si>
  <si>
    <t>2月28日①</t>
  </si>
  <si>
    <t>2月28日②</t>
  </si>
  <si>
    <t>2月28日③</t>
  </si>
  <si>
    <t>合計(期末残高）</t>
  </si>
  <si>
    <t>※期首残高は、1月の配当後の値である。</t>
    <phoneticPr fontId="1"/>
  </si>
  <si>
    <t>収益</t>
  </si>
  <si>
    <t>費用</t>
  </si>
  <si>
    <t>売上高</t>
  </si>
  <si>
    <t>売上原価</t>
  </si>
  <si>
    <t>給料</t>
  </si>
  <si>
    <t>減価償却費</t>
  </si>
  <si>
    <t>支払利息</t>
  </si>
  <si>
    <t>収益合計</t>
  </si>
  <si>
    <t>費用合計</t>
  </si>
  <si>
    <t>備考</t>
  </si>
  <si>
    <t>Ⅰ 営業活動によるCF</t>
  </si>
  <si>
    <t>Ⅱ 投資活動によるCF</t>
  </si>
  <si>
    <t>Ⅲ 財務活動によるCF</t>
  </si>
  <si>
    <t>Ⅳ 現金及び現金同等物の増減額</t>
  </si>
  <si>
    <t>Ⅴ 現金及び現金同等物の期首残高</t>
  </si>
  <si>
    <t>Ⅵ 現金及び現金同等物の期末残高</t>
  </si>
  <si>
    <t>直接法による2月のCF計算書</t>
    <phoneticPr fontId="1"/>
  </si>
  <si>
    <t>　　営業収入</t>
    <phoneticPr fontId="1"/>
  </si>
  <si>
    <t>　　商品の仕入支出</t>
    <phoneticPr fontId="1"/>
  </si>
  <si>
    <t>　　人件費支出</t>
    <phoneticPr fontId="1"/>
  </si>
  <si>
    <t>　　　　営業活動によるCF合計</t>
    <phoneticPr fontId="1"/>
  </si>
  <si>
    <t>　　有形固定資産の取得</t>
    <phoneticPr fontId="1"/>
  </si>
  <si>
    <t>　　　　投資活動によるCF合計</t>
    <phoneticPr fontId="1"/>
  </si>
  <si>
    <t>　　出資者からの出資による調達</t>
    <phoneticPr fontId="1"/>
  </si>
  <si>
    <t>　　借入による調達</t>
    <phoneticPr fontId="1"/>
  </si>
  <si>
    <t>　　　　財務活動によるCF合計</t>
    <phoneticPr fontId="1"/>
  </si>
  <si>
    <t>【資産の部】</t>
  </si>
  <si>
    <t>【負債の部】</t>
  </si>
  <si>
    <t>【純資産の部】</t>
  </si>
  <si>
    <t>資産合計</t>
  </si>
  <si>
    <t>負債・純資産合計</t>
  </si>
  <si>
    <t>期末貸借対照表（2月28日③）</t>
  </si>
  <si>
    <t>利益剰余金</t>
  </si>
  <si>
    <t>2月の収益・費用の発生表（損益計算書に対応）</t>
  </si>
  <si>
    <t>投資案C</t>
    <phoneticPr fontId="1"/>
  </si>
  <si>
    <t>投資案D</t>
    <phoneticPr fontId="1"/>
  </si>
  <si>
    <r>
      <t>T</t>
    </r>
    <r>
      <rPr>
        <vertAlign val="subscript"/>
        <sz val="11"/>
        <color theme="1"/>
        <rFont val="游ゴシック"/>
        <family val="3"/>
        <charset val="128"/>
        <scheme val="minor"/>
      </rPr>
      <t>6</t>
    </r>
    <r>
      <rPr>
        <sz val="11"/>
        <color theme="1"/>
        <rFont val="游ゴシック"/>
        <family val="2"/>
        <charset val="128"/>
        <scheme val="minor"/>
      </rPr>
      <t>時点の価値をT</t>
    </r>
    <r>
      <rPr>
        <vertAlign val="subscript"/>
        <sz val="11"/>
        <color theme="1"/>
        <rFont val="游ゴシック"/>
        <family val="3"/>
        <charset val="128"/>
        <scheme val="minor"/>
      </rPr>
      <t>0</t>
    </r>
    <r>
      <rPr>
        <sz val="11"/>
        <color theme="1"/>
        <rFont val="游ゴシック"/>
        <family val="2"/>
        <charset val="128"/>
        <scheme val="minor"/>
      </rPr>
      <t>時点の価値へ変換=(1500/0.1)*(1/1.1^6)</t>
    </r>
    <rPh sb="5" eb="7">
      <t>カチ</t>
    </rPh>
    <rPh sb="10" eb="12">
      <t>ジテン</t>
    </rPh>
    <rPh sb="13" eb="15">
      <t>カチ</t>
    </rPh>
    <rPh sb="16" eb="18">
      <t>ヘンカン</t>
    </rPh>
    <phoneticPr fontId="1"/>
  </si>
  <si>
    <t>(2) 投資案Aの各年のFCFを年利10%の銀行預金へ再投資する場合（図表2-5を参照）</t>
    <rPh sb="35" eb="37">
      <t>ズヒョウ</t>
    </rPh>
    <rPh sb="41" eb="43">
      <t>サンショウ</t>
    </rPh>
    <phoneticPr fontId="1"/>
  </si>
  <si>
    <t>次のような各期のFCFが予想される状況において、この投資案の正味現在価値NPVを求めなさい。割引率は10%とする。なお、nを無限大と想定している。</t>
    <rPh sb="62" eb="65">
      <t>ムゲンダイ</t>
    </rPh>
    <rPh sb="66" eb="68">
      <t>ソウテイ</t>
    </rPh>
    <phoneticPr fontId="1"/>
  </si>
  <si>
    <t>次のようなFCFが各期に予想される投資案において、この投資案の正味現在価値NPVを求めなさい。割引率は10%とする。なお、nを無限大と想定している。</t>
    <phoneticPr fontId="1"/>
  </si>
  <si>
    <t>FCFの期待値が70/年、その資本コストが10%の投資案がある。これに必要な初期投資額は600と見積もられている。(1)から(3)の資金調達パターンの下での株主資本コストをそれぞれ求めよ。なお、nを無限大と想定している。</t>
    <rPh sb="99" eb="102">
      <t>ムゲンダイ</t>
    </rPh>
    <rPh sb="103" eb="105">
      <t>ソウテイ</t>
    </rPh>
    <phoneticPr fontId="1"/>
  </si>
  <si>
    <t>図表10.1　予想される5期間の企業経営の成果</t>
  </si>
  <si>
    <t>期首株主資本</t>
  </si>
  <si>
    <t>当期純利益</t>
  </si>
  <si>
    <t>配当</t>
  </si>
  <si>
    <t>期末株主資本</t>
  </si>
  <si>
    <t>残余利益</t>
  </si>
  <si>
    <t>1期</t>
  </si>
  <si>
    <t>2期</t>
  </si>
  <si>
    <t>3期</t>
  </si>
  <si>
    <t>4期</t>
  </si>
  <si>
    <t>5期</t>
  </si>
  <si>
    <t>単位：万円</t>
  </si>
  <si>
    <r>
      <t>株主資本コスト10%（</t>
    </r>
    <r>
      <rPr>
        <i/>
        <sz val="11"/>
        <color theme="1"/>
        <rFont val="游ゴシック"/>
        <family val="3"/>
        <charset val="128"/>
        <scheme val="minor"/>
      </rPr>
      <t>r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E</t>
    </r>
    <r>
      <rPr>
        <sz val="11"/>
        <color theme="1"/>
        <rFont val="游ゴシック"/>
        <family val="2"/>
        <charset val="128"/>
        <scheme val="minor"/>
      </rPr>
      <t>=0.1）</t>
    </r>
    <phoneticPr fontId="1"/>
  </si>
  <si>
    <r>
      <t>　　　残余利益（</t>
    </r>
    <r>
      <rPr>
        <i/>
        <sz val="11"/>
        <color theme="1"/>
        <rFont val="游ゴシック"/>
        <family val="3"/>
        <charset val="128"/>
        <scheme val="minor"/>
      </rPr>
      <t>RI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r>
      <rPr>
        <sz val="11"/>
        <color theme="1"/>
        <rFont val="游ゴシック"/>
        <family val="2"/>
        <charset val="128"/>
        <scheme val="minor"/>
      </rPr>
      <t>=</t>
    </r>
    <r>
      <rPr>
        <i/>
        <sz val="11"/>
        <color theme="1"/>
        <rFont val="游ゴシック"/>
        <family val="3"/>
        <charset val="128"/>
        <scheme val="minor"/>
      </rPr>
      <t>NI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r>
      <rPr>
        <i/>
        <sz val="11"/>
        <color theme="1"/>
        <rFont val="游ゴシック"/>
        <family val="3"/>
        <charset val="128"/>
        <scheme val="minor"/>
      </rPr>
      <t>－r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E</t>
    </r>
    <r>
      <rPr>
        <i/>
        <sz val="11"/>
        <color theme="1"/>
        <rFont val="游ゴシック"/>
        <family val="3"/>
        <charset val="128"/>
        <scheme val="minor"/>
      </rPr>
      <t>E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t-1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ザンヨ</t>
    </rPh>
    <rPh sb="5" eb="7">
      <t>リエキ</t>
    </rPh>
    <phoneticPr fontId="1"/>
  </si>
  <si>
    <r>
      <t>参考：クリーンサープラス関係（</t>
    </r>
    <r>
      <rPr>
        <i/>
        <sz val="11"/>
        <color theme="1"/>
        <rFont val="游ゴシック"/>
        <family val="3"/>
        <charset val="128"/>
        <scheme val="minor"/>
      </rPr>
      <t>E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t-1</t>
    </r>
    <r>
      <rPr>
        <sz val="11"/>
        <color theme="1"/>
        <rFont val="游ゴシック"/>
        <family val="3"/>
        <charset val="128"/>
        <scheme val="minor"/>
      </rPr>
      <t>+</t>
    </r>
    <r>
      <rPr>
        <i/>
        <sz val="11"/>
        <color theme="1"/>
        <rFont val="游ゴシック"/>
        <family val="3"/>
        <charset val="128"/>
        <scheme val="minor"/>
      </rPr>
      <t>NI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r>
      <rPr>
        <sz val="11"/>
        <color theme="1"/>
        <rFont val="游ゴシック"/>
        <family val="3"/>
        <charset val="128"/>
        <scheme val="minor"/>
      </rPr>
      <t>－</t>
    </r>
    <r>
      <rPr>
        <i/>
        <sz val="11"/>
        <color theme="1"/>
        <rFont val="游ゴシック"/>
        <family val="3"/>
        <charset val="128"/>
        <scheme val="minor"/>
      </rPr>
      <t>Div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r>
      <rPr>
        <sz val="11"/>
        <color theme="1"/>
        <rFont val="游ゴシック"/>
        <family val="3"/>
        <charset val="128"/>
        <scheme val="minor"/>
      </rPr>
      <t>=</t>
    </r>
    <r>
      <rPr>
        <i/>
        <sz val="11"/>
        <color theme="1"/>
        <rFont val="游ゴシック"/>
        <family val="3"/>
        <charset val="128"/>
        <scheme val="minor"/>
      </rPr>
      <t>E</t>
    </r>
    <r>
      <rPr>
        <i/>
        <vertAlign val="subscript"/>
        <sz val="11"/>
        <color theme="1"/>
        <rFont val="游ゴシック"/>
        <family val="3"/>
        <charset val="128"/>
        <scheme val="minor"/>
      </rPr>
      <t xml:space="preserve">t 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</si>
  <si>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RI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phoneticPr fontId="1"/>
  </si>
  <si>
    <r>
      <rPr>
        <i/>
        <sz val="11"/>
        <color theme="1"/>
        <rFont val="游ゴシック"/>
        <family val="3"/>
        <charset val="128"/>
        <scheme val="minor"/>
      </rPr>
      <t>E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t-1</t>
    </r>
    <r>
      <rPr>
        <sz val="11"/>
        <color theme="1"/>
        <rFont val="游ゴシック"/>
        <family val="2"/>
        <charset val="128"/>
        <scheme val="minor"/>
      </rPr>
      <t>（配当後）</t>
    </r>
    <phoneticPr fontId="1"/>
  </si>
  <si>
    <r>
      <t>E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t-1</t>
    </r>
    <phoneticPr fontId="1"/>
  </si>
  <si>
    <r>
      <t>NI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phoneticPr fontId="1"/>
  </si>
  <si>
    <r>
      <t>Div</t>
    </r>
    <r>
      <rPr>
        <i/>
        <vertAlign val="subscript"/>
        <sz val="11"/>
        <color theme="1"/>
        <rFont val="游ゴシック"/>
        <family val="3"/>
        <charset val="128"/>
        <scheme val="minor"/>
      </rPr>
      <t>t</t>
    </r>
    <phoneticPr fontId="1"/>
  </si>
  <si>
    <t>(1) 配当割引モデルによる株主資本価値の算出</t>
    <phoneticPr fontId="1"/>
  </si>
  <si>
    <t>(2) 残余利益割引モデルによる株主資本価値の算出</t>
  </si>
  <si>
    <r>
      <rPr>
        <i/>
        <sz val="11"/>
        <color theme="1"/>
        <rFont val="游ゴシック"/>
        <family val="3"/>
        <charset val="128"/>
        <scheme val="minor"/>
      </rPr>
      <t>V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E</t>
    </r>
    <r>
      <rPr>
        <sz val="11"/>
        <color theme="1"/>
        <rFont val="游ゴシック"/>
        <family val="3"/>
        <charset val="128"/>
        <scheme val="minor"/>
      </rPr>
      <t>＝</t>
    </r>
    <phoneticPr fontId="1"/>
  </si>
  <si>
    <t>【練習問題9－1】</t>
    <phoneticPr fontId="1"/>
  </si>
  <si>
    <t>【練習問題10－1】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</si>
</sst>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 "/>
    <numFmt numFmtId="178" formatCode="#,##0;&quot;△ &quot;#,##0"/>
    <numFmt numFmtId="179" formatCode="\(0.0\)"/>
    <numFmt numFmtId="180" formatCode="0.0%"/>
    <numFmt numFmtId="181" formatCode="0.000%"/>
    <numFmt numFmtId="182" formatCode="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vertAlign val="subscript"/>
      <sz val="11"/>
      <color theme="1"/>
      <name val="游ゴシック"/>
      <family val="3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b/>
      <sz val="11"/>
      <color rgb="FF222222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bscript"/>
      <sz val="1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vertAlign val="subscript"/>
      <sz val="11"/>
      <color theme="1"/>
      <name val="游ゴシック"/>
      <family val="3"/>
      <charset val="128"/>
      <scheme val="minor"/>
    </font>
    <font>
      <i/>
      <vertAlign val="superscript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9" fontId="0" fillId="0" borderId="0" xfId="1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177" fontId="0" fillId="0" borderId="4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176" fontId="0" fillId="0" borderId="7" xfId="0" applyNumberFormat="1" applyBorder="1">
      <alignment vertical="center"/>
    </xf>
    <xf numFmtId="176" fontId="5" fillId="0" borderId="7" xfId="0" applyNumberFormat="1" applyFont="1" applyBorder="1">
      <alignment vertical="center"/>
    </xf>
    <xf numFmtId="49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7" fillId="0" borderId="0" xfId="2" applyNumberFormat="1" applyFont="1">
      <alignment vertical="center"/>
    </xf>
    <xf numFmtId="0" fontId="7" fillId="0" borderId="0" xfId="0" applyFont="1">
      <alignment vertical="center"/>
    </xf>
    <xf numFmtId="178" fontId="7" fillId="0" borderId="8" xfId="2" applyNumberFormat="1" applyFont="1" applyBorder="1" applyAlignment="1">
      <alignment horizontal="center" vertical="center" wrapText="1"/>
    </xf>
    <xf numFmtId="178" fontId="7" fillId="0" borderId="15" xfId="2" applyNumberFormat="1" applyFont="1" applyBorder="1" applyAlignment="1">
      <alignment horizontal="center" vertical="center" wrapText="1"/>
    </xf>
    <xf numFmtId="178" fontId="7" fillId="0" borderId="14" xfId="2" applyNumberFormat="1" applyFont="1" applyBorder="1" applyAlignment="1">
      <alignment horizontal="center" vertical="center" wrapText="1"/>
    </xf>
    <xf numFmtId="178" fontId="7" fillId="0" borderId="14" xfId="2" applyNumberFormat="1" applyFont="1" applyBorder="1" applyAlignment="1">
      <alignment horizontal="right" vertical="center" wrapText="1"/>
    </xf>
    <xf numFmtId="178" fontId="7" fillId="0" borderId="13" xfId="2" applyNumberFormat="1" applyFont="1" applyBorder="1" applyAlignment="1">
      <alignment horizontal="center" vertical="center" wrapText="1"/>
    </xf>
    <xf numFmtId="178" fontId="7" fillId="0" borderId="13" xfId="2" applyNumberFormat="1" applyFont="1" applyBorder="1" applyAlignment="1">
      <alignment horizontal="right" vertical="center" wrapText="1"/>
    </xf>
    <xf numFmtId="178" fontId="7" fillId="0" borderId="11" xfId="2" applyNumberFormat="1" applyFont="1" applyBorder="1" applyAlignment="1">
      <alignment horizontal="right" vertical="center" wrapText="1"/>
    </xf>
    <xf numFmtId="178" fontId="7" fillId="0" borderId="12" xfId="2" applyNumberFormat="1" applyFont="1" applyBorder="1" applyAlignment="1">
      <alignment horizontal="center" vertical="center" wrapText="1"/>
    </xf>
    <xf numFmtId="178" fontId="7" fillId="0" borderId="10" xfId="2" applyNumberFormat="1" applyFont="1" applyBorder="1" applyAlignment="1">
      <alignment horizontal="center" vertical="center" wrapText="1"/>
    </xf>
    <xf numFmtId="178" fontId="7" fillId="0" borderId="9" xfId="2" applyNumberFormat="1" applyFont="1" applyBorder="1" applyAlignment="1">
      <alignment horizontal="right" vertical="center" wrapText="1"/>
    </xf>
    <xf numFmtId="178" fontId="7" fillId="0" borderId="16" xfId="2" applyNumberFormat="1" applyFont="1" applyBorder="1" applyAlignment="1">
      <alignment horizontal="right" vertical="center" wrapText="1"/>
    </xf>
    <xf numFmtId="178" fontId="7" fillId="0" borderId="8" xfId="2" applyNumberFormat="1" applyFont="1" applyBorder="1" applyAlignment="1">
      <alignment horizontal="right" vertical="center" wrapText="1"/>
    </xf>
    <xf numFmtId="178" fontId="7" fillId="0" borderId="12" xfId="2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5" xfId="0" applyFont="1" applyBorder="1">
      <alignment vertical="center"/>
    </xf>
    <xf numFmtId="177" fontId="5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179" fontId="4" fillId="0" borderId="5" xfId="0" applyNumberFormat="1" applyFont="1" applyBorder="1">
      <alignment vertical="center"/>
    </xf>
    <xf numFmtId="179" fontId="5" fillId="0" borderId="5" xfId="0" applyNumberFormat="1" applyFont="1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right" vertical="center"/>
    </xf>
    <xf numFmtId="1" fontId="0" fillId="0" borderId="4" xfId="0" applyNumberForma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15" fillId="0" borderId="5" xfId="0" applyNumberFormat="1" applyFont="1" applyBorder="1">
      <alignment vertical="center"/>
    </xf>
    <xf numFmtId="49" fontId="15" fillId="0" borderId="5" xfId="0" applyNumberFormat="1" applyFont="1" applyBorder="1">
      <alignment vertical="center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vertical="center" wrapText="1"/>
    </xf>
    <xf numFmtId="1" fontId="17" fillId="0" borderId="2" xfId="0" applyNumberFormat="1" applyFont="1" applyBorder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justify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180" fontId="5" fillId="0" borderId="0" xfId="1" applyNumberFormat="1" applyFont="1">
      <alignment vertical="center"/>
    </xf>
    <xf numFmtId="181" fontId="5" fillId="0" borderId="0" xfId="1" applyNumberFormat="1" applyFont="1">
      <alignment vertical="center"/>
    </xf>
    <xf numFmtId="3" fontId="20" fillId="0" borderId="15" xfId="0" applyNumberFormat="1" applyFont="1" applyBorder="1" applyAlignment="1">
      <alignment horizontal="center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/>
    </xf>
    <xf numFmtId="3" fontId="0" fillId="0" borderId="0" xfId="0" applyNumberForma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1" xfId="0" applyBorder="1">
      <alignment vertical="center"/>
    </xf>
    <xf numFmtId="0" fontId="0" fillId="0" borderId="41" xfId="0" applyBorder="1">
      <alignment vertical="center"/>
    </xf>
    <xf numFmtId="0" fontId="0" fillId="0" borderId="32" xfId="0" applyBorder="1">
      <alignment vertical="center"/>
    </xf>
    <xf numFmtId="3" fontId="0" fillId="0" borderId="5" xfId="0" applyNumberFormat="1" applyBorder="1">
      <alignment vertical="center"/>
    </xf>
    <xf numFmtId="182" fontId="0" fillId="0" borderId="38" xfId="0" applyNumberFormat="1" applyBorder="1">
      <alignment vertical="center"/>
    </xf>
    <xf numFmtId="3" fontId="0" fillId="0" borderId="4" xfId="0" applyNumberFormat="1" applyBorder="1">
      <alignment vertical="center"/>
    </xf>
    <xf numFmtId="3" fontId="0" fillId="0" borderId="42" xfId="0" applyNumberFormat="1" applyBorder="1">
      <alignment vertical="center"/>
    </xf>
    <xf numFmtId="38" fontId="0" fillId="0" borderId="0" xfId="2" applyFont="1">
      <alignment vertical="center"/>
    </xf>
    <xf numFmtId="182" fontId="0" fillId="0" borderId="19" xfId="0" applyNumberFormat="1" applyBorder="1" applyAlignment="1">
      <alignment horizontal="left" vertical="center"/>
    </xf>
    <xf numFmtId="14" fontId="4" fillId="0" borderId="0" xfId="0" applyNumberFormat="1" applyFont="1" applyAlignment="1">
      <alignment horizontal="right" vertical="center"/>
    </xf>
    <xf numFmtId="0" fontId="0" fillId="0" borderId="5" xfId="0" applyBorder="1" applyAlignment="1">
      <alignment horizontal="right" vertical="center"/>
    </xf>
    <xf numFmtId="14" fontId="4" fillId="0" borderId="6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9" fontId="0" fillId="0" borderId="19" xfId="1" applyFont="1" applyBorder="1">
      <alignment vertical="center"/>
    </xf>
    <xf numFmtId="1" fontId="0" fillId="0" borderId="19" xfId="0" applyNumberFormat="1" applyBorder="1">
      <alignment vertical="center"/>
    </xf>
    <xf numFmtId="0" fontId="22" fillId="0" borderId="0" xfId="0" applyFont="1">
      <alignment vertical="center"/>
    </xf>
    <xf numFmtId="2" fontId="0" fillId="0" borderId="0" xfId="0" applyNumberFormat="1" applyAlignment="1">
      <alignment horizontal="left" vertical="center"/>
    </xf>
    <xf numFmtId="1" fontId="5" fillId="0" borderId="5" xfId="0" applyNumberFormat="1" applyFont="1" applyBorder="1">
      <alignment vertical="center"/>
    </xf>
    <xf numFmtId="0" fontId="0" fillId="0" borderId="0" xfId="0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2"/>
    </xf>
    <xf numFmtId="0" fontId="0" fillId="0" borderId="0" xfId="0" applyBorder="1">
      <alignment vertical="center"/>
    </xf>
    <xf numFmtId="176" fontId="0" fillId="0" borderId="5" xfId="0" applyNumberForma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26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2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9</xdr:row>
      <xdr:rowOff>132347</xdr:rowOff>
    </xdr:from>
    <xdr:to>
      <xdr:col>2</xdr:col>
      <xdr:colOff>460809</xdr:colOff>
      <xdr:row>14</xdr:row>
      <xdr:rowOff>79809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15715" y="1604210"/>
          <a:ext cx="384610" cy="1090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78105</xdr:colOff>
      <xdr:row>9</xdr:row>
      <xdr:rowOff>119380</xdr:rowOff>
    </xdr:from>
    <xdr:to>
      <xdr:col>1</xdr:col>
      <xdr:colOff>369570</xdr:colOff>
      <xdr:row>9</xdr:row>
      <xdr:rowOff>119380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748665" y="159004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48895</xdr:colOff>
      <xdr:row>9</xdr:row>
      <xdr:rowOff>111760</xdr:rowOff>
    </xdr:from>
    <xdr:to>
      <xdr:col>5</xdr:col>
      <xdr:colOff>340360</xdr:colOff>
      <xdr:row>9</xdr:row>
      <xdr:rowOff>111760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695" y="158242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88900</xdr:colOff>
      <xdr:row>9</xdr:row>
      <xdr:rowOff>119380</xdr:rowOff>
    </xdr:from>
    <xdr:to>
      <xdr:col>7</xdr:col>
      <xdr:colOff>380365</xdr:colOff>
      <xdr:row>9</xdr:row>
      <xdr:rowOff>119380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782820" y="159004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44450</xdr:colOff>
      <xdr:row>9</xdr:row>
      <xdr:rowOff>119380</xdr:rowOff>
    </xdr:from>
    <xdr:to>
      <xdr:col>9</xdr:col>
      <xdr:colOff>335915</xdr:colOff>
      <xdr:row>9</xdr:row>
      <xdr:rowOff>119380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6079490" y="159004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9</xdr:row>
      <xdr:rowOff>119380</xdr:rowOff>
    </xdr:from>
    <xdr:to>
      <xdr:col>3</xdr:col>
      <xdr:colOff>415290</xdr:colOff>
      <xdr:row>9</xdr:row>
      <xdr:rowOff>119380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135505" y="159004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666115</xdr:colOff>
      <xdr:row>9</xdr:row>
      <xdr:rowOff>119380</xdr:rowOff>
    </xdr:from>
    <xdr:to>
      <xdr:col>4</xdr:col>
      <xdr:colOff>287020</xdr:colOff>
      <xdr:row>9</xdr:row>
      <xdr:rowOff>119380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2677795" y="159004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35560</xdr:colOff>
      <xdr:row>9</xdr:row>
      <xdr:rowOff>127000</xdr:rowOff>
    </xdr:from>
    <xdr:to>
      <xdr:col>6</xdr:col>
      <xdr:colOff>327025</xdr:colOff>
      <xdr:row>9</xdr:row>
      <xdr:rowOff>127000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058920" y="159766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29210</xdr:colOff>
      <xdr:row>9</xdr:row>
      <xdr:rowOff>127000</xdr:rowOff>
    </xdr:from>
    <xdr:to>
      <xdr:col>8</xdr:col>
      <xdr:colOff>320675</xdr:colOff>
      <xdr:row>9</xdr:row>
      <xdr:rowOff>127000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5393690" y="159766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</xdr:colOff>
      <xdr:row>9</xdr:row>
      <xdr:rowOff>127000</xdr:rowOff>
    </xdr:from>
    <xdr:to>
      <xdr:col>2</xdr:col>
      <xdr:colOff>361950</xdr:colOff>
      <xdr:row>9</xdr:row>
      <xdr:rowOff>127000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411605" y="1597660"/>
          <a:ext cx="29146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522</xdr:colOff>
      <xdr:row>9</xdr:row>
      <xdr:rowOff>120316</xdr:rowOff>
    </xdr:from>
    <xdr:to>
      <xdr:col>4</xdr:col>
      <xdr:colOff>496957</xdr:colOff>
      <xdr:row>13</xdr:row>
      <xdr:rowOff>26505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677461" y="729916"/>
          <a:ext cx="496435" cy="7013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40105</xdr:colOff>
      <xdr:row>9</xdr:row>
      <xdr:rowOff>128335</xdr:rowOff>
    </xdr:from>
    <xdr:to>
      <xdr:col>6</xdr:col>
      <xdr:colOff>501316</xdr:colOff>
      <xdr:row>12</xdr:row>
      <xdr:rowOff>52137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4058652" y="1600198"/>
          <a:ext cx="461211" cy="60960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32084</xdr:colOff>
      <xdr:row>9</xdr:row>
      <xdr:rowOff>128337</xdr:rowOff>
    </xdr:from>
    <xdr:to>
      <xdr:col>8</xdr:col>
      <xdr:colOff>501316</xdr:colOff>
      <xdr:row>11</xdr:row>
      <xdr:rowOff>80211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5390147" y="1600200"/>
          <a:ext cx="469232" cy="4090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29</xdr:row>
      <xdr:rowOff>7620</xdr:rowOff>
    </xdr:from>
    <xdr:to>
      <xdr:col>6</xdr:col>
      <xdr:colOff>716280</xdr:colOff>
      <xdr:row>30</xdr:row>
      <xdr:rowOff>114935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2207931" y="7831778"/>
          <a:ext cx="4408817" cy="340229"/>
          <a:chOff x="0" y="-32037"/>
          <a:chExt cx="810883" cy="28220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686706</xdr:colOff>
      <xdr:row>5</xdr:row>
      <xdr:rowOff>226064</xdr:rowOff>
    </xdr:from>
    <xdr:to>
      <xdr:col>2</xdr:col>
      <xdr:colOff>686706</xdr:colOff>
      <xdr:row>9</xdr:row>
      <xdr:rowOff>104649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92FAAAD-EA7D-42CD-9EAC-450F5B5DB712}"/>
            </a:ext>
          </a:extLst>
        </xdr:cNvPr>
        <xdr:cNvCxnSpPr/>
      </xdr:nvCxnSpPr>
      <xdr:spPr>
        <a:xfrm>
          <a:off x="2769506" y="2321564"/>
          <a:ext cx="0" cy="8183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636887</xdr:colOff>
      <xdr:row>6</xdr:row>
      <xdr:rowOff>0</xdr:rowOff>
    </xdr:from>
    <xdr:to>
      <xdr:col>5</xdr:col>
      <xdr:colOff>636887</xdr:colOff>
      <xdr:row>15</xdr:row>
      <xdr:rowOff>56159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4E44A54-4534-4682-90EB-20E4F1B89CA4}"/>
            </a:ext>
          </a:extLst>
        </xdr:cNvPr>
        <xdr:cNvCxnSpPr/>
      </xdr:nvCxnSpPr>
      <xdr:spPr>
        <a:xfrm>
          <a:off x="5499173" y="2394857"/>
          <a:ext cx="0" cy="22060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663313</xdr:colOff>
      <xdr:row>6</xdr:row>
      <xdr:rowOff>4446</xdr:rowOff>
    </xdr:from>
    <xdr:to>
      <xdr:col>4</xdr:col>
      <xdr:colOff>663313</xdr:colOff>
      <xdr:row>13</xdr:row>
      <xdr:rowOff>104026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D415FAA-858D-4D3B-BCE9-8A48BF24FD23}"/>
            </a:ext>
          </a:extLst>
        </xdr:cNvPr>
        <xdr:cNvCxnSpPr/>
      </xdr:nvCxnSpPr>
      <xdr:spPr>
        <a:xfrm>
          <a:off x="4600313" y="2399303"/>
          <a:ext cx="0" cy="17687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606708</xdr:colOff>
      <xdr:row>6</xdr:row>
      <xdr:rowOff>10361</xdr:rowOff>
    </xdr:from>
    <xdr:to>
      <xdr:col>6</xdr:col>
      <xdr:colOff>606708</xdr:colOff>
      <xdr:row>17</xdr:row>
      <xdr:rowOff>63528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14D2619-00FD-49C2-97E1-6D8624D51EE5}"/>
            </a:ext>
          </a:extLst>
        </xdr:cNvPr>
        <xdr:cNvCxnSpPr/>
      </xdr:nvCxnSpPr>
      <xdr:spPr>
        <a:xfrm>
          <a:off x="6394279" y="2405218"/>
          <a:ext cx="0" cy="26838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680628</xdr:colOff>
      <xdr:row>6</xdr:row>
      <xdr:rowOff>8</xdr:rowOff>
    </xdr:from>
    <xdr:to>
      <xdr:col>3</xdr:col>
      <xdr:colOff>680628</xdr:colOff>
      <xdr:row>11</xdr:row>
      <xdr:rowOff>100523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19CD9D57-FA0D-4455-85B2-C72A7A2324C9}"/>
            </a:ext>
          </a:extLst>
        </xdr:cNvPr>
        <xdr:cNvCxnSpPr/>
      </xdr:nvCxnSpPr>
      <xdr:spPr>
        <a:xfrm>
          <a:off x="3684178" y="2324108"/>
          <a:ext cx="0" cy="12943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244929</xdr:colOff>
      <xdr:row>6</xdr:row>
      <xdr:rowOff>190500</xdr:rowOff>
    </xdr:from>
    <xdr:to>
      <xdr:col>6</xdr:col>
      <xdr:colOff>90715</xdr:colOff>
      <xdr:row>8</xdr:row>
      <xdr:rowOff>18142</xdr:rowOff>
    </xdr:to>
    <xdr:sp macro="" textlink="">
      <xdr:nvSpPr>
        <xdr:cNvPr id="15" name="テキスト ボックス 257">
          <a:extLst>
            <a:ext uri="{FF2B5EF4-FFF2-40B4-BE49-F238E27FC236}">
              <a16:creationId xmlns:a16="http://schemas.microsoft.com/office/drawing/2014/main" id="{C78345F5-7245-46C8-9540-B0823FA44FD3}"/>
            </a:ext>
          </a:extLst>
        </xdr:cNvPr>
        <xdr:cNvSpPr txBox="1">
          <a:spLocks noChangeArrowheads="1"/>
        </xdr:cNvSpPr>
      </xdr:nvSpPr>
      <xdr:spPr bwMode="auto">
        <a:xfrm>
          <a:off x="3256643" y="2585357"/>
          <a:ext cx="2621643" cy="281214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毎期の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FCF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8%/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年の利率で再投資する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213360</xdr:rowOff>
    </xdr:from>
    <xdr:to>
      <xdr:col>2</xdr:col>
      <xdr:colOff>495300</xdr:colOff>
      <xdr:row>14</xdr:row>
      <xdr:rowOff>137160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8525349-2E35-4CE3-94E4-09788BF395A2}"/>
            </a:ext>
          </a:extLst>
        </xdr:cNvPr>
        <xdr:cNvGrpSpPr/>
      </xdr:nvGrpSpPr>
      <xdr:grpSpPr>
        <a:xfrm>
          <a:off x="860315" y="2770839"/>
          <a:ext cx="974617" cy="837185"/>
          <a:chOff x="-27655" y="0"/>
          <a:chExt cx="838538" cy="250166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26F9FD19-919F-44C0-B6FC-069DC98DE268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BCB60E0-B94D-4D1F-B9FA-87080F82B3FB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220980</xdr:rowOff>
    </xdr:from>
    <xdr:to>
      <xdr:col>1</xdr:col>
      <xdr:colOff>518161</xdr:colOff>
      <xdr:row>12</xdr:row>
      <xdr:rowOff>152400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29A5907-2ED9-4298-BA19-E09E84E5C60E}"/>
            </a:ext>
          </a:extLst>
        </xdr:cNvPr>
        <xdr:cNvGrpSpPr/>
      </xdr:nvGrpSpPr>
      <xdr:grpSpPr>
        <a:xfrm>
          <a:off x="860316" y="2778459"/>
          <a:ext cx="327660" cy="398261"/>
          <a:chOff x="0" y="0"/>
          <a:chExt cx="810883" cy="250166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DC7060F-A029-4F61-A6E7-B9387BDBC521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2815ACA5-BD12-482A-9FB4-21DBB5DB5CB5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213360</xdr:rowOff>
    </xdr:from>
    <xdr:to>
      <xdr:col>3</xdr:col>
      <xdr:colOff>480061</xdr:colOff>
      <xdr:row>16</xdr:row>
      <xdr:rowOff>106680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706FB13-4F1E-479D-AE6C-FE1384A6662D}"/>
            </a:ext>
          </a:extLst>
        </xdr:cNvPr>
        <xdr:cNvGrpSpPr/>
      </xdr:nvGrpSpPr>
      <xdr:grpSpPr>
        <a:xfrm>
          <a:off x="860316" y="2770839"/>
          <a:ext cx="1629192" cy="1253248"/>
          <a:chOff x="21916" y="19152"/>
          <a:chExt cx="788967" cy="231014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D696969-E37D-4AD5-A64B-542B107297E2}"/>
              </a:ext>
            </a:extLst>
          </xdr:cNvPr>
          <xdr:cNvCxnSpPr/>
        </xdr:nvCxnSpPr>
        <xdr:spPr>
          <a:xfrm>
            <a:off x="810856" y="19152"/>
            <a:ext cx="0" cy="2309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D3131F94-6EAE-4135-889F-96069E051579}"/>
              </a:ext>
            </a:extLst>
          </xdr:cNvPr>
          <xdr:cNvCxnSpPr/>
        </xdr:nvCxnSpPr>
        <xdr:spPr>
          <a:xfrm flipH="1" flipV="1">
            <a:off x="21916" y="250145"/>
            <a:ext cx="788967" cy="2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205740</xdr:rowOff>
    </xdr:from>
    <xdr:to>
      <xdr:col>4</xdr:col>
      <xdr:colOff>475130</xdr:colOff>
      <xdr:row>18</xdr:row>
      <xdr:rowOff>144780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59D05EF-4A89-44D1-9AEF-8E028343BE78}"/>
            </a:ext>
          </a:extLst>
        </xdr:cNvPr>
        <xdr:cNvGrpSpPr/>
      </xdr:nvGrpSpPr>
      <xdr:grpSpPr>
        <a:xfrm>
          <a:off x="860316" y="2763219"/>
          <a:ext cx="2294078" cy="1745512"/>
          <a:chOff x="-16726" y="0"/>
          <a:chExt cx="827609" cy="250166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4241F97E-1946-4C09-BEFB-621AE55FFCFE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7024B3ED-9DA6-4E86-8338-A3175308F167}"/>
              </a:ext>
            </a:extLst>
          </xdr:cNvPr>
          <xdr:cNvCxnSpPr/>
        </xdr:nvCxnSpPr>
        <xdr:spPr>
          <a:xfrm flipH="1">
            <a:off x="-16726" y="250166"/>
            <a:ext cx="827609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190500</xdr:colOff>
      <xdr:row>10</xdr:row>
      <xdr:rowOff>213360</xdr:rowOff>
    </xdr:from>
    <xdr:to>
      <xdr:col>5</xdr:col>
      <xdr:colOff>472440</xdr:colOff>
      <xdr:row>20</xdr:row>
      <xdr:rowOff>106680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C8D6746-9D64-4074-9BF6-DCC63F49208D}"/>
            </a:ext>
          </a:extLst>
        </xdr:cNvPr>
        <xdr:cNvGrpSpPr/>
      </xdr:nvGrpSpPr>
      <xdr:grpSpPr>
        <a:xfrm>
          <a:off x="860315" y="2770839"/>
          <a:ext cx="2961204" cy="2146336"/>
          <a:chOff x="0" y="-32037"/>
          <a:chExt cx="810883" cy="282203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321FF13B-2A4B-4A4F-AC3F-B00FF638072C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CC1FD75E-CDC6-4569-A268-33CD3A7FAC4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30480</xdr:colOff>
      <xdr:row>10</xdr:row>
      <xdr:rowOff>22860</xdr:rowOff>
    </xdr:from>
    <xdr:to>
      <xdr:col>1</xdr:col>
      <xdr:colOff>60960</xdr:colOff>
      <xdr:row>29</xdr:row>
      <xdr:rowOff>0</xdr:rowOff>
    </xdr:to>
    <xdr:sp macro="" textlink="">
      <xdr:nvSpPr>
        <xdr:cNvPr id="17" name="角丸四角形 108">
          <a:extLst>
            <a:ext uri="{FF2B5EF4-FFF2-40B4-BE49-F238E27FC236}">
              <a16:creationId xmlns:a16="http://schemas.microsoft.com/office/drawing/2014/main" id="{56FA11A1-3970-4F21-A965-C26B80F10CBB}"/>
            </a:ext>
          </a:extLst>
        </xdr:cNvPr>
        <xdr:cNvSpPr/>
      </xdr:nvSpPr>
      <xdr:spPr>
        <a:xfrm>
          <a:off x="30480" y="1165860"/>
          <a:ext cx="1028700" cy="3177540"/>
        </a:xfrm>
        <a:prstGeom prst="roundRect">
          <a:avLst>
            <a:gd name="adj" fmla="val 1599"/>
          </a:avLst>
        </a:prstGeom>
        <a:noFill/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308610</xdr:colOff>
      <xdr:row>11</xdr:row>
      <xdr:rowOff>34290</xdr:rowOff>
    </xdr:from>
    <xdr:to>
      <xdr:col>9</xdr:col>
      <xdr:colOff>662940</xdr:colOff>
      <xdr:row>11</xdr:row>
      <xdr:rowOff>175260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A2EA3D02-A928-41D7-B6A9-2A3B37D2C754}"/>
            </a:ext>
          </a:extLst>
        </xdr:cNvPr>
        <xdr:cNvSpPr/>
      </xdr:nvSpPr>
      <xdr:spPr>
        <a:xfrm rot="16200000">
          <a:off x="6019800" y="2217420"/>
          <a:ext cx="140970" cy="2175510"/>
        </a:xfrm>
        <a:prstGeom prst="leftBrace">
          <a:avLst>
            <a:gd name="adj1" fmla="val 8084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182880</xdr:colOff>
      <xdr:row>10</xdr:row>
      <xdr:rowOff>213360</xdr:rowOff>
    </xdr:from>
    <xdr:to>
      <xdr:col>6</xdr:col>
      <xdr:colOff>493058</xdr:colOff>
      <xdr:row>22</xdr:row>
      <xdr:rowOff>129540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6A06BB08-25AB-46F8-99C4-759DE79FCBC5}"/>
            </a:ext>
          </a:extLst>
        </xdr:cNvPr>
        <xdr:cNvGrpSpPr/>
      </xdr:nvGrpSpPr>
      <xdr:grpSpPr>
        <a:xfrm>
          <a:off x="852695" y="2770839"/>
          <a:ext cx="3659257" cy="2615740"/>
          <a:chOff x="0" y="-32037"/>
          <a:chExt cx="810883" cy="282203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D164E880-A2DC-4BFD-8690-0975296E0E1F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878A31DB-5784-46B0-8050-54CE2EBEB6B2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182880</xdr:colOff>
      <xdr:row>14</xdr:row>
      <xdr:rowOff>22860</xdr:rowOff>
    </xdr:from>
    <xdr:to>
      <xdr:col>8</xdr:col>
      <xdr:colOff>419100</xdr:colOff>
      <xdr:row>25</xdr:row>
      <xdr:rowOff>114300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018872D-D4E4-4FAA-8D14-462704C4E9F0}"/>
            </a:ext>
          </a:extLst>
        </xdr:cNvPr>
        <xdr:cNvGrpSpPr/>
      </xdr:nvGrpSpPr>
      <xdr:grpSpPr>
        <a:xfrm>
          <a:off x="852695" y="3493724"/>
          <a:ext cx="4924931" cy="2547430"/>
          <a:chOff x="-16726" y="0"/>
          <a:chExt cx="827609" cy="250166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4A6575FC-6D46-4A3A-8463-CAE1D7C9348C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DE5E6455-2C70-4D4B-AFEE-D273E404D7FC}"/>
              </a:ext>
            </a:extLst>
          </xdr:cNvPr>
          <xdr:cNvCxnSpPr/>
        </xdr:nvCxnSpPr>
        <xdr:spPr>
          <a:xfrm flipH="1">
            <a:off x="-16726" y="250166"/>
            <a:ext cx="827609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636494</xdr:colOff>
      <xdr:row>15</xdr:row>
      <xdr:rowOff>44821</xdr:rowOff>
    </xdr:from>
    <xdr:to>
      <xdr:col>10</xdr:col>
      <xdr:colOff>546847</xdr:colOff>
      <xdr:row>19</xdr:row>
      <xdr:rowOff>9525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2D2D935E-49D5-4D67-8506-064B69FA9C69}"/>
            </a:ext>
          </a:extLst>
        </xdr:cNvPr>
        <xdr:cNvSpPr/>
      </xdr:nvSpPr>
      <xdr:spPr>
        <a:xfrm>
          <a:off x="5895788" y="3869762"/>
          <a:ext cx="1718235" cy="891057"/>
        </a:xfrm>
        <a:prstGeom prst="wedgeRoundRectCallout">
          <a:avLst>
            <a:gd name="adj1" fmla="val -47054"/>
            <a:gd name="adj2" fmla="val -10890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</a:t>
          </a:r>
          <a:r>
            <a:rPr kumimoji="1" lang="en-US" altLang="ja-JP" sz="1100" baseline="-25000"/>
            <a:t>7</a:t>
          </a:r>
          <a:r>
            <a:rPr kumimoji="1" lang="ja-JP" altLang="en-US" sz="1100"/>
            <a:t>期以降に生じる</a:t>
          </a:r>
          <a:r>
            <a:rPr kumimoji="1" lang="en-US" altLang="ja-JP" sz="1100"/>
            <a:t>FCF</a:t>
          </a:r>
          <a:r>
            <a:rPr kumimoji="1" lang="ja-JP" altLang="en-US" sz="1100"/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kumimoji="1" lang="en-US" altLang="ja-JP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時点で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現在価値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</a:t>
          </a:r>
          <a:r>
            <a:rPr kumimoji="1" lang="ja-JP" altLang="en-US" sz="1100"/>
            <a:t>求める。</a:t>
          </a:r>
        </a:p>
      </xdr:txBody>
    </xdr:sp>
    <xdr:clientData/>
  </xdr:twoCellAnchor>
  <xdr:twoCellAnchor>
    <xdr:from>
      <xdr:col>8</xdr:col>
      <xdr:colOff>618564</xdr:colOff>
      <xdr:row>22</xdr:row>
      <xdr:rowOff>98611</xdr:rowOff>
    </xdr:from>
    <xdr:to>
      <xdr:col>10</xdr:col>
      <xdr:colOff>528917</xdr:colOff>
      <xdr:row>27</xdr:row>
      <xdr:rowOff>100013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1C2C243-666F-4ACA-9616-CC44A3E1BFEB}"/>
            </a:ext>
          </a:extLst>
        </xdr:cNvPr>
        <xdr:cNvSpPr/>
      </xdr:nvSpPr>
      <xdr:spPr>
        <a:xfrm>
          <a:off x="5990664" y="4899211"/>
          <a:ext cx="1734391" cy="1144402"/>
        </a:xfrm>
        <a:prstGeom prst="wedgeRoundRectCallout">
          <a:avLst>
            <a:gd name="adj1" fmla="val -59855"/>
            <a:gd name="adj2" fmla="val -107124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上で求めた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kumimoji="1" lang="en-US" altLang="ja-JP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/>
            <a:t>時点の現在価値</a:t>
          </a:r>
          <a:r>
            <a:rPr kumimoji="1" lang="en-US" altLang="ja-JP" sz="1100"/>
            <a:t>PV</a:t>
          </a:r>
          <a:r>
            <a:rPr kumimoji="1" lang="ja-JP" altLang="en-US" sz="1100"/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kumimoji="1" lang="en-US" altLang="ja-JP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/>
            <a:t>時点の現在価値</a:t>
          </a:r>
          <a:r>
            <a:rPr kumimoji="1" lang="en-US" altLang="ja-JP" sz="1100"/>
            <a:t>PV</a:t>
          </a:r>
          <a:r>
            <a:rPr kumimoji="1" lang="ja-JP" altLang="en-US" sz="1100"/>
            <a:t>へと割り引く。</a:t>
          </a:r>
          <a:endParaRPr kumimoji="1" lang="en-US" altLang="ja-JP" sz="1100"/>
        </a:p>
        <a:p>
          <a:pPr algn="l"/>
          <a:r>
            <a:rPr kumimoji="1" lang="en-US" altLang="ja-JP" sz="1100"/>
            <a:t>15000/1.1^6=8467.1</a:t>
          </a:r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10</xdr:row>
      <xdr:rowOff>6350</xdr:rowOff>
    </xdr:from>
    <xdr:to>
      <xdr:col>2</xdr:col>
      <xdr:colOff>615950</xdr:colOff>
      <xdr:row>10</xdr:row>
      <xdr:rowOff>127000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202E459-A37D-4581-AFF1-A8C11011FD75}"/>
            </a:ext>
          </a:extLst>
        </xdr:cNvPr>
        <xdr:cNvGrpSpPr/>
      </xdr:nvGrpSpPr>
      <xdr:grpSpPr>
        <a:xfrm>
          <a:off x="2066146" y="2542516"/>
          <a:ext cx="508000" cy="120650"/>
          <a:chOff x="0" y="0"/>
          <a:chExt cx="810883" cy="250166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8A521747-B018-4A6F-B7C8-8CB4882338FB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7BB324BD-7042-4A17-8499-967E56AB0826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-17284700</xdr:colOff>
      <xdr:row>46</xdr:row>
      <xdr:rowOff>80010</xdr:rowOff>
    </xdr:from>
    <xdr:to>
      <xdr:col>0</xdr:col>
      <xdr:colOff>-16769080</xdr:colOff>
      <xdr:row>50</xdr:row>
      <xdr:rowOff>80010</xdr:rowOff>
    </xdr:to>
    <xdr:sp macro="" textlink="">
      <xdr:nvSpPr>
        <xdr:cNvPr id="11" name="角丸四角形 108">
          <a:extLst>
            <a:ext uri="{FF2B5EF4-FFF2-40B4-BE49-F238E27FC236}">
              <a16:creationId xmlns:a16="http://schemas.microsoft.com/office/drawing/2014/main" id="{E7465F3F-6C45-4E43-A829-9639FF8E5E1B}"/>
            </a:ext>
          </a:extLst>
        </xdr:cNvPr>
        <xdr:cNvSpPr/>
      </xdr:nvSpPr>
      <xdr:spPr>
        <a:xfrm>
          <a:off x="-17284700" y="6029960"/>
          <a:ext cx="515620" cy="0"/>
        </a:xfrm>
        <a:prstGeom prst="roundRect">
          <a:avLst/>
        </a:prstGeom>
        <a:noFill/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82550</xdr:colOff>
      <xdr:row>19</xdr:row>
      <xdr:rowOff>31750</xdr:rowOff>
    </xdr:from>
    <xdr:to>
      <xdr:col>3</xdr:col>
      <xdr:colOff>533400</xdr:colOff>
      <xdr:row>20</xdr:row>
      <xdr:rowOff>127000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31BE86A1-FBEB-4F48-90A1-1AF690698BBB}"/>
            </a:ext>
          </a:extLst>
        </xdr:cNvPr>
        <xdr:cNvGrpSpPr/>
      </xdr:nvGrpSpPr>
      <xdr:grpSpPr>
        <a:xfrm>
          <a:off x="2040746" y="4664135"/>
          <a:ext cx="1244480" cy="328163"/>
          <a:chOff x="-27655" y="0"/>
          <a:chExt cx="838538" cy="250166"/>
        </a:xfrm>
      </xdr:grpSpPr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D23F8A0A-89E5-41D5-BE9E-2852E26F1968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2AD6D7B3-04C4-4552-9916-ED7BCD3CFF6A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-17308195</xdr:colOff>
      <xdr:row>68</xdr:row>
      <xdr:rowOff>224790</xdr:rowOff>
    </xdr:from>
    <xdr:to>
      <xdr:col>0</xdr:col>
      <xdr:colOff>-16792575</xdr:colOff>
      <xdr:row>68</xdr:row>
      <xdr:rowOff>224790</xdr:rowOff>
    </xdr:to>
    <xdr:sp macro="" textlink="">
      <xdr:nvSpPr>
        <xdr:cNvPr id="28" name="角丸四角形 108">
          <a:extLst>
            <a:ext uri="{FF2B5EF4-FFF2-40B4-BE49-F238E27FC236}">
              <a16:creationId xmlns:a16="http://schemas.microsoft.com/office/drawing/2014/main" id="{6606E5A7-A467-44A5-86B8-DFA197A2A6EA}"/>
            </a:ext>
          </a:extLst>
        </xdr:cNvPr>
        <xdr:cNvSpPr/>
      </xdr:nvSpPr>
      <xdr:spPr>
        <a:xfrm>
          <a:off x="-17308195" y="8289290"/>
          <a:ext cx="515620" cy="0"/>
        </a:xfrm>
        <a:prstGeom prst="roundRect">
          <a:avLst/>
        </a:prstGeom>
        <a:noFill/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76200</xdr:colOff>
      <xdr:row>28</xdr:row>
      <xdr:rowOff>6350</xdr:rowOff>
    </xdr:from>
    <xdr:to>
      <xdr:col>4</xdr:col>
      <xdr:colOff>571500</xdr:colOff>
      <xdr:row>30</xdr:row>
      <xdr:rowOff>104140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94AA3D25-4E71-44A1-A341-10BE00F0244F}"/>
            </a:ext>
          </a:extLst>
        </xdr:cNvPr>
        <xdr:cNvGrpSpPr/>
      </xdr:nvGrpSpPr>
      <xdr:grpSpPr>
        <a:xfrm>
          <a:off x="2034396" y="6734954"/>
          <a:ext cx="2073934" cy="563616"/>
          <a:chOff x="-27655" y="0"/>
          <a:chExt cx="838538" cy="250166"/>
        </a:xfrm>
      </xdr:grpSpPr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C5715CE5-41BB-42C8-B2AD-D8A3BB19419D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id="{325A39EC-48AE-4CA7-9087-6FF9055CB6F1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69850</xdr:colOff>
      <xdr:row>19</xdr:row>
      <xdr:rowOff>12700</xdr:rowOff>
    </xdr:from>
    <xdr:to>
      <xdr:col>2</xdr:col>
      <xdr:colOff>654050</xdr:colOff>
      <xdr:row>19</xdr:row>
      <xdr:rowOff>146050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C147E37F-0E5E-4118-A19E-4FEB158AA909}"/>
            </a:ext>
          </a:extLst>
        </xdr:cNvPr>
        <xdr:cNvGrpSpPr/>
      </xdr:nvGrpSpPr>
      <xdr:grpSpPr>
        <a:xfrm>
          <a:off x="2028046" y="4645085"/>
          <a:ext cx="584200" cy="133350"/>
          <a:chOff x="0" y="0"/>
          <a:chExt cx="810883" cy="250166"/>
        </a:xfrm>
      </xdr:grpSpPr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D069F8F2-9FBD-4320-9410-F6FDD8D181B2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直線矢印コネクタ 44">
            <a:extLst>
              <a:ext uri="{FF2B5EF4-FFF2-40B4-BE49-F238E27FC236}">
                <a16:creationId xmlns:a16="http://schemas.microsoft.com/office/drawing/2014/main" id="{0599698E-6CC4-4601-AB06-DDB9D54556A5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76200</xdr:colOff>
      <xdr:row>28</xdr:row>
      <xdr:rowOff>6350</xdr:rowOff>
    </xdr:from>
    <xdr:to>
      <xdr:col>2</xdr:col>
      <xdr:colOff>660400</xdr:colOff>
      <xdr:row>28</xdr:row>
      <xdr:rowOff>139700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268C91FE-F9D4-47C3-B991-BA16141BD8F1}"/>
            </a:ext>
          </a:extLst>
        </xdr:cNvPr>
        <xdr:cNvGrpSpPr/>
      </xdr:nvGrpSpPr>
      <xdr:grpSpPr>
        <a:xfrm>
          <a:off x="2034396" y="6734954"/>
          <a:ext cx="584200" cy="133350"/>
          <a:chOff x="0" y="0"/>
          <a:chExt cx="810883" cy="250166"/>
        </a:xfrm>
      </xdr:grpSpPr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16CD73B1-ACC1-455B-9A55-3CA9592E8ACD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0F2012A6-77C2-4776-B3E1-9C231425E72C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76200</xdr:colOff>
      <xdr:row>28</xdr:row>
      <xdr:rowOff>0</xdr:rowOff>
    </xdr:from>
    <xdr:to>
      <xdr:col>3</xdr:col>
      <xdr:colOff>647700</xdr:colOff>
      <xdr:row>29</xdr:row>
      <xdr:rowOff>95250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E690D0-8E2D-4A94-A69E-542393ACFEB9}"/>
            </a:ext>
          </a:extLst>
        </xdr:cNvPr>
        <xdr:cNvGrpSpPr/>
      </xdr:nvGrpSpPr>
      <xdr:grpSpPr>
        <a:xfrm>
          <a:off x="2034396" y="6728604"/>
          <a:ext cx="1365130" cy="328163"/>
          <a:chOff x="-27655" y="0"/>
          <a:chExt cx="838538" cy="250166"/>
        </a:xfrm>
      </xdr:grpSpPr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5CB4BB64-92C1-4C12-A939-6ABEA7709816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C0438403-73EC-42CB-B304-430A063328E2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407950</xdr:colOff>
      <xdr:row>10</xdr:row>
      <xdr:rowOff>106680</xdr:rowOff>
    </xdr:from>
    <xdr:to>
      <xdr:col>2</xdr:col>
      <xdr:colOff>573050</xdr:colOff>
      <xdr:row>12</xdr:row>
      <xdr:rowOff>132080</xdr:rowOff>
    </xdr:to>
    <xdr:sp macro="" textlink="">
      <xdr:nvSpPr>
        <xdr:cNvPr id="19" name="円弧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2760211" y="2370593"/>
          <a:ext cx="165100" cy="478183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468910</xdr:colOff>
      <xdr:row>12</xdr:row>
      <xdr:rowOff>114300</xdr:rowOff>
    </xdr:from>
    <xdr:to>
      <xdr:col>3</xdr:col>
      <xdr:colOff>634010</xdr:colOff>
      <xdr:row>14</xdr:row>
      <xdr:rowOff>139700</xdr:rowOff>
    </xdr:to>
    <xdr:sp macro="" textlink="">
      <xdr:nvSpPr>
        <xdr:cNvPr id="20" name="円弧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10800000">
          <a:off x="3792997" y="2830996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407950</xdr:colOff>
      <xdr:row>12</xdr:row>
      <xdr:rowOff>106680</xdr:rowOff>
    </xdr:from>
    <xdr:to>
      <xdr:col>2</xdr:col>
      <xdr:colOff>573050</xdr:colOff>
      <xdr:row>14</xdr:row>
      <xdr:rowOff>132080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10800000">
          <a:off x="2760211" y="2823376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483596</xdr:colOff>
      <xdr:row>14</xdr:row>
      <xdr:rowOff>91440</xdr:rowOff>
    </xdr:from>
    <xdr:to>
      <xdr:col>4</xdr:col>
      <xdr:colOff>648696</xdr:colOff>
      <xdr:row>16</xdr:row>
      <xdr:rowOff>116840</xdr:rowOff>
    </xdr:to>
    <xdr:sp macro="" textlink="">
      <xdr:nvSpPr>
        <xdr:cNvPr id="22" name="円弧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10800000">
          <a:off x="4779509" y="3260918"/>
          <a:ext cx="165100" cy="478183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468910</xdr:colOff>
      <xdr:row>14</xdr:row>
      <xdr:rowOff>114300</xdr:rowOff>
    </xdr:from>
    <xdr:to>
      <xdr:col>3</xdr:col>
      <xdr:colOff>634010</xdr:colOff>
      <xdr:row>16</xdr:row>
      <xdr:rowOff>139700</xdr:rowOff>
    </xdr:to>
    <xdr:sp macro="" textlink="">
      <xdr:nvSpPr>
        <xdr:cNvPr id="23" name="円弧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rot="10800000">
          <a:off x="3792997" y="3283778"/>
          <a:ext cx="165100" cy="478183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407950</xdr:colOff>
      <xdr:row>14</xdr:row>
      <xdr:rowOff>106680</xdr:rowOff>
    </xdr:from>
    <xdr:to>
      <xdr:col>2</xdr:col>
      <xdr:colOff>573050</xdr:colOff>
      <xdr:row>16</xdr:row>
      <xdr:rowOff>132080</xdr:rowOff>
    </xdr:to>
    <xdr:sp macro="" textlink="">
      <xdr:nvSpPr>
        <xdr:cNvPr id="24" name="円弧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 rot="10800000">
          <a:off x="2760211" y="3276158"/>
          <a:ext cx="165100" cy="478183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491216</xdr:colOff>
      <xdr:row>16</xdr:row>
      <xdr:rowOff>114300</xdr:rowOff>
    </xdr:from>
    <xdr:to>
      <xdr:col>5</xdr:col>
      <xdr:colOff>656316</xdr:colOff>
      <xdr:row>18</xdr:row>
      <xdr:rowOff>139700</xdr:rowOff>
    </xdr:to>
    <xdr:sp macro="" textlink="">
      <xdr:nvSpPr>
        <xdr:cNvPr id="25" name="円弧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rot="10800000">
          <a:off x="5758955" y="3736561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483596</xdr:colOff>
      <xdr:row>16</xdr:row>
      <xdr:rowOff>91440</xdr:rowOff>
    </xdr:from>
    <xdr:to>
      <xdr:col>4</xdr:col>
      <xdr:colOff>648696</xdr:colOff>
      <xdr:row>18</xdr:row>
      <xdr:rowOff>116840</xdr:rowOff>
    </xdr:to>
    <xdr:sp macro="" textlink="">
      <xdr:nvSpPr>
        <xdr:cNvPr id="26" name="円弧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rot="10800000">
          <a:off x="4779509" y="3713701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468910</xdr:colOff>
      <xdr:row>16</xdr:row>
      <xdr:rowOff>114300</xdr:rowOff>
    </xdr:from>
    <xdr:to>
      <xdr:col>3</xdr:col>
      <xdr:colOff>634010</xdr:colOff>
      <xdr:row>18</xdr:row>
      <xdr:rowOff>139700</xdr:rowOff>
    </xdr:to>
    <xdr:sp macro="" textlink="">
      <xdr:nvSpPr>
        <xdr:cNvPr id="27" name="円弧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rot="10800000">
          <a:off x="3792997" y="3736561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407950</xdr:colOff>
      <xdr:row>16</xdr:row>
      <xdr:rowOff>106680</xdr:rowOff>
    </xdr:from>
    <xdr:to>
      <xdr:col>2</xdr:col>
      <xdr:colOff>573050</xdr:colOff>
      <xdr:row>18</xdr:row>
      <xdr:rowOff>132080</xdr:rowOff>
    </xdr:to>
    <xdr:sp macro="" textlink="">
      <xdr:nvSpPr>
        <xdr:cNvPr id="28" name="円弧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10800000">
          <a:off x="2760211" y="3728941"/>
          <a:ext cx="165100" cy="478182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762886</xdr:colOff>
      <xdr:row>5</xdr:row>
      <xdr:rowOff>209652</xdr:rowOff>
    </xdr:from>
    <xdr:to>
      <xdr:col>2</xdr:col>
      <xdr:colOff>762886</xdr:colOff>
      <xdr:row>10</xdr:row>
      <xdr:rowOff>28257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3115147" y="1341609"/>
          <a:ext cx="0" cy="9505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787651</xdr:colOff>
      <xdr:row>5</xdr:row>
      <xdr:rowOff>209825</xdr:rowOff>
    </xdr:from>
    <xdr:to>
      <xdr:col>5</xdr:col>
      <xdr:colOff>787651</xdr:colOff>
      <xdr:row>16</xdr:row>
      <xdr:rowOff>10029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6055390" y="1341782"/>
          <a:ext cx="0" cy="22905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787651</xdr:colOff>
      <xdr:row>5</xdr:row>
      <xdr:rowOff>209652</xdr:rowOff>
    </xdr:from>
    <xdr:to>
      <xdr:col>4</xdr:col>
      <xdr:colOff>787651</xdr:colOff>
      <xdr:row>14</xdr:row>
      <xdr:rowOff>35877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5083564" y="1341609"/>
          <a:ext cx="0" cy="18637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767331</xdr:colOff>
      <xdr:row>5</xdr:row>
      <xdr:rowOff>209825</xdr:rowOff>
    </xdr:from>
    <xdr:to>
      <xdr:col>6</xdr:col>
      <xdr:colOff>767331</xdr:colOff>
      <xdr:row>17</xdr:row>
      <xdr:rowOff>225065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7006896" y="1341782"/>
          <a:ext cx="0" cy="27319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774951</xdr:colOff>
      <xdr:row>5</xdr:row>
      <xdr:rowOff>209825</xdr:rowOff>
    </xdr:from>
    <xdr:to>
      <xdr:col>3</xdr:col>
      <xdr:colOff>774951</xdr:colOff>
      <xdr:row>12</xdr:row>
      <xdr:rowOff>2409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4099038" y="1341782"/>
          <a:ext cx="0" cy="13773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801757</xdr:colOff>
      <xdr:row>7</xdr:row>
      <xdr:rowOff>1</xdr:rowOff>
    </xdr:from>
    <xdr:to>
      <xdr:col>5</xdr:col>
      <xdr:colOff>739913</xdr:colOff>
      <xdr:row>8</xdr:row>
      <xdr:rowOff>66262</xdr:rowOff>
    </xdr:to>
    <xdr:sp macro="" textlink="">
      <xdr:nvSpPr>
        <xdr:cNvPr id="35" name="テキスト ボックス 25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3154018" y="1584740"/>
          <a:ext cx="2853634" cy="292652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j-ea"/>
              <a:ea typeface="+mj-ea"/>
            </a:rPr>
            <a:t>毎年の利息を直ちに利率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j-ea"/>
              <a:ea typeface="+mj-ea"/>
            </a:rPr>
            <a:t>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j-ea"/>
              <a:ea typeface="+mj-ea"/>
            </a:rPr>
            <a:t>%で銀行預金する</a:t>
          </a:r>
        </a:p>
      </xdr:txBody>
    </xdr:sp>
    <xdr:clientData/>
  </xdr:twoCellAnchor>
  <xdr:twoCellAnchor>
    <xdr:from>
      <xdr:col>1</xdr:col>
      <xdr:colOff>373380</xdr:colOff>
      <xdr:row>26</xdr:row>
      <xdr:rowOff>121920</xdr:rowOff>
    </xdr:from>
    <xdr:to>
      <xdr:col>2</xdr:col>
      <xdr:colOff>323850</xdr:colOff>
      <xdr:row>29</xdr:row>
      <xdr:rowOff>22225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1918634" y="5972880"/>
          <a:ext cx="798108" cy="575415"/>
          <a:chOff x="0" y="0"/>
          <a:chExt cx="621102" cy="586596"/>
        </a:xfrm>
      </xdr:grpSpPr>
      <xdr:sp macro="" textlink="">
        <xdr:nvSpPr>
          <xdr:cNvPr id="37" name="テキスト ボックス 264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5%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38" name="環状矢印 265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487680</xdr:colOff>
      <xdr:row>26</xdr:row>
      <xdr:rowOff>137160</xdr:rowOff>
    </xdr:from>
    <xdr:to>
      <xdr:col>6</xdr:col>
      <xdr:colOff>438150</xdr:colOff>
      <xdr:row>29</xdr:row>
      <xdr:rowOff>37465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5828557" y="5988120"/>
          <a:ext cx="933130" cy="575415"/>
          <a:chOff x="0" y="0"/>
          <a:chExt cx="621102" cy="586596"/>
        </a:xfrm>
      </xdr:grpSpPr>
      <xdr:sp macro="" textlink="">
        <xdr:nvSpPr>
          <xdr:cNvPr id="40" name="テキスト ボックス 267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5%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1" name="環状矢印 268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510540</xdr:colOff>
      <xdr:row>26</xdr:row>
      <xdr:rowOff>137160</xdr:rowOff>
    </xdr:from>
    <xdr:to>
      <xdr:col>5</xdr:col>
      <xdr:colOff>461010</xdr:colOff>
      <xdr:row>29</xdr:row>
      <xdr:rowOff>37465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4868755" y="5988120"/>
          <a:ext cx="933132" cy="575415"/>
          <a:chOff x="0" y="0"/>
          <a:chExt cx="621102" cy="586596"/>
        </a:xfrm>
      </xdr:grpSpPr>
      <xdr:sp macro="" textlink="">
        <xdr:nvSpPr>
          <xdr:cNvPr id="43" name="テキスト ボックス 270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5%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4" name="環状矢印 271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464820</xdr:colOff>
      <xdr:row>26</xdr:row>
      <xdr:rowOff>144780</xdr:rowOff>
    </xdr:from>
    <xdr:to>
      <xdr:col>4</xdr:col>
      <xdr:colOff>415290</xdr:colOff>
      <xdr:row>29</xdr:row>
      <xdr:rowOff>45085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3840374" y="5995740"/>
          <a:ext cx="933131" cy="575415"/>
          <a:chOff x="0" y="0"/>
          <a:chExt cx="621102" cy="586596"/>
        </a:xfrm>
      </xdr:grpSpPr>
      <xdr:sp macro="" textlink="">
        <xdr:nvSpPr>
          <xdr:cNvPr id="46" name="テキスト ボックス 112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5%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7" name="環状矢印 112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411480</xdr:colOff>
      <xdr:row>26</xdr:row>
      <xdr:rowOff>121920</xdr:rowOff>
    </xdr:from>
    <xdr:to>
      <xdr:col>3</xdr:col>
      <xdr:colOff>361950</xdr:colOff>
      <xdr:row>29</xdr:row>
      <xdr:rowOff>22225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2804372" y="5972880"/>
          <a:ext cx="933132" cy="575415"/>
          <a:chOff x="0" y="0"/>
          <a:chExt cx="621102" cy="586596"/>
        </a:xfrm>
      </xdr:grpSpPr>
      <xdr:sp macro="" textlink="">
        <xdr:nvSpPr>
          <xdr:cNvPr id="49" name="テキスト ボックス 112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5%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50" name="環状矢印 112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10</xdr:row>
      <xdr:rowOff>106680</xdr:rowOff>
    </xdr:from>
    <xdr:to>
      <xdr:col>2</xdr:col>
      <xdr:colOff>363220</xdr:colOff>
      <xdr:row>12</xdr:row>
      <xdr:rowOff>132080</xdr:rowOff>
    </xdr:to>
    <xdr:sp macro="" textlink="">
      <xdr:nvSpPr>
        <xdr:cNvPr id="19" name="円弧 18">
          <a:extLst>
            <a:ext uri="{FF2B5EF4-FFF2-40B4-BE49-F238E27FC236}">
              <a16:creationId xmlns:a16="http://schemas.microsoft.com/office/drawing/2014/main" id="{CAF1B5E0-2D1C-41B3-B195-43FDB9557227}"/>
            </a:ext>
          </a:extLst>
        </xdr:cNvPr>
        <xdr:cNvSpPr/>
      </xdr:nvSpPr>
      <xdr:spPr>
        <a:xfrm rot="10800000">
          <a:off x="2547620" y="21640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12</xdr:row>
      <xdr:rowOff>114300</xdr:rowOff>
    </xdr:from>
    <xdr:to>
      <xdr:col>3</xdr:col>
      <xdr:colOff>424180</xdr:colOff>
      <xdr:row>14</xdr:row>
      <xdr:rowOff>139700</xdr:rowOff>
    </xdr:to>
    <xdr:sp macro="" textlink="">
      <xdr:nvSpPr>
        <xdr:cNvPr id="20" name="円弧 19">
          <a:extLst>
            <a:ext uri="{FF2B5EF4-FFF2-40B4-BE49-F238E27FC236}">
              <a16:creationId xmlns:a16="http://schemas.microsoft.com/office/drawing/2014/main" id="{672E7D5F-136F-467E-A8BB-7EFB403840E7}"/>
            </a:ext>
          </a:extLst>
        </xdr:cNvPr>
        <xdr:cNvSpPr/>
      </xdr:nvSpPr>
      <xdr:spPr>
        <a:xfrm rot="10800000">
          <a:off x="3440430" y="26289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12</xdr:row>
      <xdr:rowOff>106680</xdr:rowOff>
    </xdr:from>
    <xdr:to>
      <xdr:col>2</xdr:col>
      <xdr:colOff>363220</xdr:colOff>
      <xdr:row>14</xdr:row>
      <xdr:rowOff>132080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88BA08D0-D2EA-4FAA-BE49-2DFC6377E6E5}"/>
            </a:ext>
          </a:extLst>
        </xdr:cNvPr>
        <xdr:cNvSpPr/>
      </xdr:nvSpPr>
      <xdr:spPr>
        <a:xfrm rot="10800000">
          <a:off x="2547620" y="26212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239534</xdr:colOff>
      <xdr:row>14</xdr:row>
      <xdr:rowOff>91440</xdr:rowOff>
    </xdr:from>
    <xdr:to>
      <xdr:col>4</xdr:col>
      <xdr:colOff>404634</xdr:colOff>
      <xdr:row>16</xdr:row>
      <xdr:rowOff>116840</xdr:rowOff>
    </xdr:to>
    <xdr:sp macro="" textlink="">
      <xdr:nvSpPr>
        <xdr:cNvPr id="22" name="円弧 21">
          <a:extLst>
            <a:ext uri="{FF2B5EF4-FFF2-40B4-BE49-F238E27FC236}">
              <a16:creationId xmlns:a16="http://schemas.microsoft.com/office/drawing/2014/main" id="{3FCC5427-F5BA-4AE7-B01B-598610A9B540}"/>
            </a:ext>
          </a:extLst>
        </xdr:cNvPr>
        <xdr:cNvSpPr/>
      </xdr:nvSpPr>
      <xdr:spPr>
        <a:xfrm rot="10800000">
          <a:off x="4252734" y="306324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14</xdr:row>
      <xdr:rowOff>114300</xdr:rowOff>
    </xdr:from>
    <xdr:to>
      <xdr:col>3</xdr:col>
      <xdr:colOff>424180</xdr:colOff>
      <xdr:row>16</xdr:row>
      <xdr:rowOff>139700</xdr:rowOff>
    </xdr:to>
    <xdr:sp macro="" textlink="">
      <xdr:nvSpPr>
        <xdr:cNvPr id="23" name="円弧 22">
          <a:extLst>
            <a:ext uri="{FF2B5EF4-FFF2-40B4-BE49-F238E27FC236}">
              <a16:creationId xmlns:a16="http://schemas.microsoft.com/office/drawing/2014/main" id="{9970F54C-DBB3-4E9B-B998-070C446999BB}"/>
            </a:ext>
          </a:extLst>
        </xdr:cNvPr>
        <xdr:cNvSpPr/>
      </xdr:nvSpPr>
      <xdr:spPr>
        <a:xfrm rot="10800000">
          <a:off x="3440430" y="30861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14</xdr:row>
      <xdr:rowOff>106680</xdr:rowOff>
    </xdr:from>
    <xdr:to>
      <xdr:col>2</xdr:col>
      <xdr:colOff>363220</xdr:colOff>
      <xdr:row>16</xdr:row>
      <xdr:rowOff>132080</xdr:rowOff>
    </xdr:to>
    <xdr:sp macro="" textlink="">
      <xdr:nvSpPr>
        <xdr:cNvPr id="24" name="円弧 23">
          <a:extLst>
            <a:ext uri="{FF2B5EF4-FFF2-40B4-BE49-F238E27FC236}">
              <a16:creationId xmlns:a16="http://schemas.microsoft.com/office/drawing/2014/main" id="{5D0D2BD7-527F-4A95-ABED-A8D0EF1DA30F}"/>
            </a:ext>
          </a:extLst>
        </xdr:cNvPr>
        <xdr:cNvSpPr/>
      </xdr:nvSpPr>
      <xdr:spPr>
        <a:xfrm rot="10800000">
          <a:off x="2547620" y="30784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253780</xdr:colOff>
      <xdr:row>16</xdr:row>
      <xdr:rowOff>114300</xdr:rowOff>
    </xdr:from>
    <xdr:to>
      <xdr:col>5</xdr:col>
      <xdr:colOff>418880</xdr:colOff>
      <xdr:row>18</xdr:row>
      <xdr:rowOff>139700</xdr:rowOff>
    </xdr:to>
    <xdr:sp macro="" textlink="">
      <xdr:nvSpPr>
        <xdr:cNvPr id="25" name="円弧 24">
          <a:extLst>
            <a:ext uri="{FF2B5EF4-FFF2-40B4-BE49-F238E27FC236}">
              <a16:creationId xmlns:a16="http://schemas.microsoft.com/office/drawing/2014/main" id="{EFF5972C-C8C3-49C7-B90E-F7DF15C5AD61}"/>
            </a:ext>
          </a:extLst>
        </xdr:cNvPr>
        <xdr:cNvSpPr/>
      </xdr:nvSpPr>
      <xdr:spPr>
        <a:xfrm rot="10800000">
          <a:off x="5098830" y="35433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239534</xdr:colOff>
      <xdr:row>16</xdr:row>
      <xdr:rowOff>91440</xdr:rowOff>
    </xdr:from>
    <xdr:to>
      <xdr:col>4</xdr:col>
      <xdr:colOff>404634</xdr:colOff>
      <xdr:row>18</xdr:row>
      <xdr:rowOff>116840</xdr:rowOff>
    </xdr:to>
    <xdr:sp macro="" textlink="">
      <xdr:nvSpPr>
        <xdr:cNvPr id="26" name="円弧 25">
          <a:extLst>
            <a:ext uri="{FF2B5EF4-FFF2-40B4-BE49-F238E27FC236}">
              <a16:creationId xmlns:a16="http://schemas.microsoft.com/office/drawing/2014/main" id="{01CE9EBF-7C76-4650-A9EA-597E3013C717}"/>
            </a:ext>
          </a:extLst>
        </xdr:cNvPr>
        <xdr:cNvSpPr/>
      </xdr:nvSpPr>
      <xdr:spPr>
        <a:xfrm rot="10800000">
          <a:off x="4252734" y="352044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16</xdr:row>
      <xdr:rowOff>114300</xdr:rowOff>
    </xdr:from>
    <xdr:to>
      <xdr:col>3</xdr:col>
      <xdr:colOff>424180</xdr:colOff>
      <xdr:row>18</xdr:row>
      <xdr:rowOff>139700</xdr:rowOff>
    </xdr:to>
    <xdr:sp macro="" textlink="">
      <xdr:nvSpPr>
        <xdr:cNvPr id="27" name="円弧 26">
          <a:extLst>
            <a:ext uri="{FF2B5EF4-FFF2-40B4-BE49-F238E27FC236}">
              <a16:creationId xmlns:a16="http://schemas.microsoft.com/office/drawing/2014/main" id="{EA29E615-CC91-4520-8E2C-DB822EE3ABC0}"/>
            </a:ext>
          </a:extLst>
        </xdr:cNvPr>
        <xdr:cNvSpPr/>
      </xdr:nvSpPr>
      <xdr:spPr>
        <a:xfrm rot="10800000">
          <a:off x="3440430" y="35433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16</xdr:row>
      <xdr:rowOff>106680</xdr:rowOff>
    </xdr:from>
    <xdr:to>
      <xdr:col>2</xdr:col>
      <xdr:colOff>363220</xdr:colOff>
      <xdr:row>18</xdr:row>
      <xdr:rowOff>132080</xdr:rowOff>
    </xdr:to>
    <xdr:sp macro="" textlink="">
      <xdr:nvSpPr>
        <xdr:cNvPr id="28" name="円弧 27">
          <a:extLst>
            <a:ext uri="{FF2B5EF4-FFF2-40B4-BE49-F238E27FC236}">
              <a16:creationId xmlns:a16="http://schemas.microsoft.com/office/drawing/2014/main" id="{4F3D04E9-1496-4442-A728-A5E37F8C06C2}"/>
            </a:ext>
          </a:extLst>
        </xdr:cNvPr>
        <xdr:cNvSpPr/>
      </xdr:nvSpPr>
      <xdr:spPr>
        <a:xfrm rot="10800000">
          <a:off x="2547620" y="35356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624840</xdr:colOff>
      <xdr:row>6</xdr:row>
      <xdr:rowOff>0</xdr:rowOff>
    </xdr:from>
    <xdr:to>
      <xdr:col>2</xdr:col>
      <xdr:colOff>624840</xdr:colOff>
      <xdr:row>9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88009842-51FE-4A69-B274-7898F01EF8D6}"/>
            </a:ext>
          </a:extLst>
        </xdr:cNvPr>
        <xdr:cNvCxnSpPr/>
      </xdr:nvCxnSpPr>
      <xdr:spPr>
        <a:xfrm>
          <a:off x="3029903" y="1381125"/>
          <a:ext cx="0" cy="6905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649605</xdr:colOff>
      <xdr:row>6</xdr:row>
      <xdr:rowOff>0</xdr:rowOff>
    </xdr:from>
    <xdr:to>
      <xdr:col>5</xdr:col>
      <xdr:colOff>649605</xdr:colOff>
      <xdr:row>15</xdr:row>
      <xdr:rowOff>213360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6FC0A555-1F5F-4EC9-85C5-3DE7A5C39C9B}"/>
            </a:ext>
          </a:extLst>
        </xdr:cNvPr>
        <xdr:cNvCxnSpPr/>
      </xdr:nvCxnSpPr>
      <xdr:spPr>
        <a:xfrm>
          <a:off x="5722134" y="1389529"/>
          <a:ext cx="0" cy="22976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649605</xdr:colOff>
      <xdr:row>6</xdr:row>
      <xdr:rowOff>0</xdr:rowOff>
    </xdr:from>
    <xdr:to>
      <xdr:col>4</xdr:col>
      <xdr:colOff>649605</xdr:colOff>
      <xdr:row>14</xdr:row>
      <xdr:rowOff>7620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4A220D88-1EFB-49B9-BAF1-8E9DDEFEF4C1}"/>
            </a:ext>
          </a:extLst>
        </xdr:cNvPr>
        <xdr:cNvCxnSpPr/>
      </xdr:nvCxnSpPr>
      <xdr:spPr>
        <a:xfrm>
          <a:off x="4833134" y="1389529"/>
          <a:ext cx="0" cy="18603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629285</xdr:colOff>
      <xdr:row>6</xdr:row>
      <xdr:rowOff>0</xdr:rowOff>
    </xdr:from>
    <xdr:to>
      <xdr:col>6</xdr:col>
      <xdr:colOff>629285</xdr:colOff>
      <xdr:row>18</xdr:row>
      <xdr:rowOff>15240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2AB9D73F-753E-4838-B663-0E525EA48461}"/>
            </a:ext>
          </a:extLst>
        </xdr:cNvPr>
        <xdr:cNvCxnSpPr/>
      </xdr:nvCxnSpPr>
      <xdr:spPr>
        <a:xfrm>
          <a:off x="6590814" y="1389529"/>
          <a:ext cx="0" cy="27942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636905</xdr:colOff>
      <xdr:row>6</xdr:row>
      <xdr:rowOff>3969</xdr:rowOff>
    </xdr:from>
    <xdr:to>
      <xdr:col>3</xdr:col>
      <xdr:colOff>636905</xdr:colOff>
      <xdr:row>11</xdr:row>
      <xdr:rowOff>205740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2C33A560-7FAE-49C6-B846-C1C35D3CE0DC}"/>
            </a:ext>
          </a:extLst>
        </xdr:cNvPr>
        <xdr:cNvCxnSpPr/>
      </xdr:nvCxnSpPr>
      <xdr:spPr>
        <a:xfrm>
          <a:off x="3930968" y="1385094"/>
          <a:ext cx="0" cy="1352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212090</xdr:colOff>
      <xdr:row>8</xdr:row>
      <xdr:rowOff>44450</xdr:rowOff>
    </xdr:from>
    <xdr:to>
      <xdr:col>6</xdr:col>
      <xdr:colOff>349250</xdr:colOff>
      <xdr:row>9</xdr:row>
      <xdr:rowOff>82550</xdr:rowOff>
    </xdr:to>
    <xdr:sp macro="" textlink="">
      <xdr:nvSpPr>
        <xdr:cNvPr id="35" name="テキスト ボックス 257">
          <a:extLst>
            <a:ext uri="{FF2B5EF4-FFF2-40B4-BE49-F238E27FC236}">
              <a16:creationId xmlns:a16="http://schemas.microsoft.com/office/drawing/2014/main" id="{02D6A685-DE24-47A4-B401-3FA81C22E09F}"/>
            </a:ext>
          </a:extLst>
        </xdr:cNvPr>
        <xdr:cNvSpPr txBox="1">
          <a:spLocks noChangeArrowheads="1"/>
        </xdr:cNvSpPr>
      </xdr:nvSpPr>
      <xdr:spPr bwMode="auto">
        <a:xfrm>
          <a:off x="3507740" y="1873250"/>
          <a:ext cx="2804160" cy="2667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毎年のFCFを直ちに利率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%で銀行預金する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384885</xdr:colOff>
      <xdr:row>57</xdr:row>
      <xdr:rowOff>106680</xdr:rowOff>
    </xdr:from>
    <xdr:to>
      <xdr:col>2</xdr:col>
      <xdr:colOff>549985</xdr:colOff>
      <xdr:row>59</xdr:row>
      <xdr:rowOff>132080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0800000">
          <a:off x="2939826" y="13889915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59</xdr:row>
      <xdr:rowOff>114300</xdr:rowOff>
    </xdr:from>
    <xdr:to>
      <xdr:col>3</xdr:col>
      <xdr:colOff>610945</xdr:colOff>
      <xdr:row>61</xdr:row>
      <xdr:rowOff>139700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10800000">
          <a:off x="4039198" y="14360712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59</xdr:row>
      <xdr:rowOff>106680</xdr:rowOff>
    </xdr:from>
    <xdr:to>
      <xdr:col>2</xdr:col>
      <xdr:colOff>549985</xdr:colOff>
      <xdr:row>61</xdr:row>
      <xdr:rowOff>132080</xdr:rowOff>
    </xdr:to>
    <xdr:sp macro="" textlink="">
      <xdr:nvSpPr>
        <xdr:cNvPr id="9" name="円弧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10800000">
          <a:off x="2939826" y="14353092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484317</xdr:colOff>
      <xdr:row>61</xdr:row>
      <xdr:rowOff>91440</xdr:rowOff>
    </xdr:from>
    <xdr:to>
      <xdr:col>4</xdr:col>
      <xdr:colOff>649417</xdr:colOff>
      <xdr:row>63</xdr:row>
      <xdr:rowOff>116840</xdr:rowOff>
    </xdr:to>
    <xdr:sp macro="" textlink="">
      <xdr:nvSpPr>
        <xdr:cNvPr id="10" name="円弧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10800000">
          <a:off x="5116082" y="14801028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61</xdr:row>
      <xdr:rowOff>114300</xdr:rowOff>
    </xdr:from>
    <xdr:to>
      <xdr:col>3</xdr:col>
      <xdr:colOff>610945</xdr:colOff>
      <xdr:row>63</xdr:row>
      <xdr:rowOff>139700</xdr:rowOff>
    </xdr:to>
    <xdr:sp macro="" textlink="">
      <xdr:nvSpPr>
        <xdr:cNvPr id="11" name="円弧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0800000">
          <a:off x="4039198" y="14823888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61</xdr:row>
      <xdr:rowOff>106680</xdr:rowOff>
    </xdr:from>
    <xdr:to>
      <xdr:col>2</xdr:col>
      <xdr:colOff>549985</xdr:colOff>
      <xdr:row>63</xdr:row>
      <xdr:rowOff>132080</xdr:rowOff>
    </xdr:to>
    <xdr:sp macro="" textlink="">
      <xdr:nvSpPr>
        <xdr:cNvPr id="12" name="円弧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0800000">
          <a:off x="2939826" y="14816268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484503</xdr:colOff>
      <xdr:row>63</xdr:row>
      <xdr:rowOff>103149</xdr:rowOff>
    </xdr:from>
    <xdr:to>
      <xdr:col>5</xdr:col>
      <xdr:colOff>649603</xdr:colOff>
      <xdr:row>65</xdr:row>
      <xdr:rowOff>128549</xdr:rowOff>
    </xdr:to>
    <xdr:sp macro="" textlink="">
      <xdr:nvSpPr>
        <xdr:cNvPr id="13" name="円弧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 rot="10800000">
          <a:off x="6154679" y="15275914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484317</xdr:colOff>
      <xdr:row>63</xdr:row>
      <xdr:rowOff>91440</xdr:rowOff>
    </xdr:from>
    <xdr:to>
      <xdr:col>4</xdr:col>
      <xdr:colOff>649417</xdr:colOff>
      <xdr:row>65</xdr:row>
      <xdr:rowOff>116840</xdr:rowOff>
    </xdr:to>
    <xdr:sp macro="" textlink="">
      <xdr:nvSpPr>
        <xdr:cNvPr id="14" name="円弧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5116082" y="15264205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63</xdr:row>
      <xdr:rowOff>114300</xdr:rowOff>
    </xdr:from>
    <xdr:to>
      <xdr:col>3</xdr:col>
      <xdr:colOff>610945</xdr:colOff>
      <xdr:row>65</xdr:row>
      <xdr:rowOff>139700</xdr:rowOff>
    </xdr:to>
    <xdr:sp macro="" textlink="">
      <xdr:nvSpPr>
        <xdr:cNvPr id="15" name="円弧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039198" y="15287065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63</xdr:row>
      <xdr:rowOff>106680</xdr:rowOff>
    </xdr:from>
    <xdr:to>
      <xdr:col>2</xdr:col>
      <xdr:colOff>549985</xdr:colOff>
      <xdr:row>65</xdr:row>
      <xdr:rowOff>132080</xdr:rowOff>
    </xdr:to>
    <xdr:sp macro="" textlink="">
      <xdr:nvSpPr>
        <xdr:cNvPr id="16" name="円弧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2939826" y="15279445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829235</xdr:colOff>
      <xdr:row>67</xdr:row>
      <xdr:rowOff>59763</xdr:rowOff>
    </xdr:from>
    <xdr:to>
      <xdr:col>7</xdr:col>
      <xdr:colOff>77570</xdr:colOff>
      <xdr:row>67</xdr:row>
      <xdr:rowOff>298963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345764" y="16158881"/>
          <a:ext cx="5478806" cy="2392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811605</xdr:colOff>
      <xdr:row>52</xdr:row>
      <xdr:rowOff>219075</xdr:rowOff>
    </xdr:from>
    <xdr:to>
      <xdr:col>2</xdr:col>
      <xdr:colOff>811605</xdr:colOff>
      <xdr:row>56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3366546" y="12844369"/>
          <a:ext cx="0" cy="7072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836370</xdr:colOff>
      <xdr:row>52</xdr:row>
      <xdr:rowOff>194945</xdr:rowOff>
    </xdr:from>
    <xdr:to>
      <xdr:col>5</xdr:col>
      <xdr:colOff>836370</xdr:colOff>
      <xdr:row>62</xdr:row>
      <xdr:rowOff>213360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6506546" y="12820239"/>
          <a:ext cx="0" cy="23342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836370</xdr:colOff>
      <xdr:row>52</xdr:row>
      <xdr:rowOff>199390</xdr:rowOff>
    </xdr:from>
    <xdr:to>
      <xdr:col>4</xdr:col>
      <xdr:colOff>836370</xdr:colOff>
      <xdr:row>61</xdr:row>
      <xdr:rowOff>7620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5468135" y="12824684"/>
          <a:ext cx="0" cy="1892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816050</xdr:colOff>
      <xdr:row>52</xdr:row>
      <xdr:rowOff>205740</xdr:rowOff>
    </xdr:from>
    <xdr:to>
      <xdr:col>6</xdr:col>
      <xdr:colOff>816050</xdr:colOff>
      <xdr:row>65</xdr:row>
      <xdr:rowOff>15240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7524638" y="12831034"/>
          <a:ext cx="0" cy="28201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823670</xdr:colOff>
      <xdr:row>52</xdr:row>
      <xdr:rowOff>202565</xdr:rowOff>
    </xdr:from>
    <xdr:to>
      <xdr:col>3</xdr:col>
      <xdr:colOff>823670</xdr:colOff>
      <xdr:row>58</xdr:row>
      <xdr:rowOff>205740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4417023" y="12827859"/>
          <a:ext cx="0" cy="13927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284737</xdr:colOff>
      <xdr:row>53</xdr:row>
      <xdr:rowOff>228599</xdr:rowOff>
    </xdr:from>
    <xdr:to>
      <xdr:col>6</xdr:col>
      <xdr:colOff>491566</xdr:colOff>
      <xdr:row>55</xdr:row>
      <xdr:rowOff>43542</xdr:rowOff>
    </xdr:to>
    <xdr:sp macro="" textlink="">
      <xdr:nvSpPr>
        <xdr:cNvPr id="6156" name="テキスト ボックス 257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3878090" y="13085481"/>
          <a:ext cx="3322064" cy="27812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毎年のFCFを直ちに利率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%／年で銀行預金する</a:t>
          </a:r>
        </a:p>
      </xdr:txBody>
    </xdr:sp>
    <xdr:clientData/>
  </xdr:twoCellAnchor>
  <xdr:twoCellAnchor>
    <xdr:from>
      <xdr:col>2</xdr:col>
      <xdr:colOff>384885</xdr:colOff>
      <xdr:row>24</xdr:row>
      <xdr:rowOff>106680</xdr:rowOff>
    </xdr:from>
    <xdr:to>
      <xdr:col>2</xdr:col>
      <xdr:colOff>549985</xdr:colOff>
      <xdr:row>26</xdr:row>
      <xdr:rowOff>132080</xdr:rowOff>
    </xdr:to>
    <xdr:sp macro="" textlink="">
      <xdr:nvSpPr>
        <xdr:cNvPr id="30" name="円弧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 rot="10800000">
          <a:off x="2939826" y="5903856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26</xdr:row>
      <xdr:rowOff>114300</xdr:rowOff>
    </xdr:from>
    <xdr:to>
      <xdr:col>3</xdr:col>
      <xdr:colOff>610945</xdr:colOff>
      <xdr:row>28</xdr:row>
      <xdr:rowOff>139700</xdr:rowOff>
    </xdr:to>
    <xdr:sp macro="" textlink="">
      <xdr:nvSpPr>
        <xdr:cNvPr id="31" name="円弧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rot="10800000">
          <a:off x="4039198" y="6374653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26</xdr:row>
      <xdr:rowOff>106680</xdr:rowOff>
    </xdr:from>
    <xdr:to>
      <xdr:col>2</xdr:col>
      <xdr:colOff>549985</xdr:colOff>
      <xdr:row>28</xdr:row>
      <xdr:rowOff>132080</xdr:rowOff>
    </xdr:to>
    <xdr:sp macro="" textlink="">
      <xdr:nvSpPr>
        <xdr:cNvPr id="32" name="円弧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 rot="10800000">
          <a:off x="2939826" y="6367033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426299</xdr:colOff>
      <xdr:row>28</xdr:row>
      <xdr:rowOff>91440</xdr:rowOff>
    </xdr:from>
    <xdr:to>
      <xdr:col>4</xdr:col>
      <xdr:colOff>591399</xdr:colOff>
      <xdr:row>30</xdr:row>
      <xdr:rowOff>116840</xdr:rowOff>
    </xdr:to>
    <xdr:sp macro="" textlink="">
      <xdr:nvSpPr>
        <xdr:cNvPr id="33" name="円弧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 rot="10800000">
          <a:off x="5058064" y="6814969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28</xdr:row>
      <xdr:rowOff>114300</xdr:rowOff>
    </xdr:from>
    <xdr:to>
      <xdr:col>3</xdr:col>
      <xdr:colOff>610945</xdr:colOff>
      <xdr:row>30</xdr:row>
      <xdr:rowOff>139700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 rot="10800000">
          <a:off x="4039198" y="6837829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28</xdr:row>
      <xdr:rowOff>106680</xdr:rowOff>
    </xdr:from>
    <xdr:to>
      <xdr:col>2</xdr:col>
      <xdr:colOff>549985</xdr:colOff>
      <xdr:row>30</xdr:row>
      <xdr:rowOff>132080</xdr:rowOff>
    </xdr:to>
    <xdr:sp macro="" textlink="">
      <xdr:nvSpPr>
        <xdr:cNvPr id="35" name="円弧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 rot="10800000">
          <a:off x="2939826" y="6830209"/>
          <a:ext cx="165100" cy="48857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440545</xdr:colOff>
      <xdr:row>30</xdr:row>
      <xdr:rowOff>114300</xdr:rowOff>
    </xdr:from>
    <xdr:to>
      <xdr:col>5</xdr:col>
      <xdr:colOff>605645</xdr:colOff>
      <xdr:row>32</xdr:row>
      <xdr:rowOff>139700</xdr:rowOff>
    </xdr:to>
    <xdr:sp macro="" textlink="">
      <xdr:nvSpPr>
        <xdr:cNvPr id="36" name="円弧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 rot="10800000">
          <a:off x="6110721" y="7301006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426299</xdr:colOff>
      <xdr:row>30</xdr:row>
      <xdr:rowOff>91440</xdr:rowOff>
    </xdr:from>
    <xdr:to>
      <xdr:col>4</xdr:col>
      <xdr:colOff>591399</xdr:colOff>
      <xdr:row>32</xdr:row>
      <xdr:rowOff>116840</xdr:rowOff>
    </xdr:to>
    <xdr:sp macro="" textlink="">
      <xdr:nvSpPr>
        <xdr:cNvPr id="37" name="円弧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 rot="10800000">
          <a:off x="5058064" y="7278146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445845</xdr:colOff>
      <xdr:row>30</xdr:row>
      <xdr:rowOff>114300</xdr:rowOff>
    </xdr:from>
    <xdr:to>
      <xdr:col>3</xdr:col>
      <xdr:colOff>610945</xdr:colOff>
      <xdr:row>32</xdr:row>
      <xdr:rowOff>139700</xdr:rowOff>
    </xdr:to>
    <xdr:sp macro="" textlink="">
      <xdr:nvSpPr>
        <xdr:cNvPr id="38" name="円弧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 rot="10800000">
          <a:off x="4039198" y="7301006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384885</xdr:colOff>
      <xdr:row>30</xdr:row>
      <xdr:rowOff>106680</xdr:rowOff>
    </xdr:from>
    <xdr:to>
      <xdr:col>2</xdr:col>
      <xdr:colOff>549985</xdr:colOff>
      <xdr:row>32</xdr:row>
      <xdr:rowOff>132080</xdr:rowOff>
    </xdr:to>
    <xdr:sp macro="" textlink="">
      <xdr:nvSpPr>
        <xdr:cNvPr id="39" name="円弧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 rot="10800000">
          <a:off x="2939826" y="7293386"/>
          <a:ext cx="165100" cy="488576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821765</xdr:colOff>
      <xdr:row>34</xdr:row>
      <xdr:rowOff>67235</xdr:rowOff>
    </xdr:from>
    <xdr:to>
      <xdr:col>7</xdr:col>
      <xdr:colOff>70100</xdr:colOff>
      <xdr:row>34</xdr:row>
      <xdr:rowOff>298823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338294" y="8180294"/>
          <a:ext cx="5478806" cy="231588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811605</xdr:colOff>
      <xdr:row>19</xdr:row>
      <xdr:rowOff>219075</xdr:rowOff>
    </xdr:from>
    <xdr:to>
      <xdr:col>2</xdr:col>
      <xdr:colOff>811605</xdr:colOff>
      <xdr:row>23</xdr:row>
      <xdr:rowOff>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3366546" y="4858310"/>
          <a:ext cx="0" cy="7072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836370</xdr:colOff>
      <xdr:row>19</xdr:row>
      <xdr:rowOff>194945</xdr:rowOff>
    </xdr:from>
    <xdr:to>
      <xdr:col>5</xdr:col>
      <xdr:colOff>836370</xdr:colOff>
      <xdr:row>29</xdr:row>
      <xdr:rowOff>213360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>
          <a:off x="6506546" y="4834180"/>
          <a:ext cx="0" cy="23342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836370</xdr:colOff>
      <xdr:row>19</xdr:row>
      <xdr:rowOff>199390</xdr:rowOff>
    </xdr:from>
    <xdr:to>
      <xdr:col>4</xdr:col>
      <xdr:colOff>836370</xdr:colOff>
      <xdr:row>28</xdr:row>
      <xdr:rowOff>7620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5468135" y="4838625"/>
          <a:ext cx="0" cy="1892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816050</xdr:colOff>
      <xdr:row>19</xdr:row>
      <xdr:rowOff>205740</xdr:rowOff>
    </xdr:from>
    <xdr:to>
      <xdr:col>6</xdr:col>
      <xdr:colOff>816050</xdr:colOff>
      <xdr:row>32</xdr:row>
      <xdr:rowOff>15240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7524638" y="4844975"/>
          <a:ext cx="0" cy="28201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823670</xdr:colOff>
      <xdr:row>19</xdr:row>
      <xdr:rowOff>202565</xdr:rowOff>
    </xdr:from>
    <xdr:to>
      <xdr:col>3</xdr:col>
      <xdr:colOff>823670</xdr:colOff>
      <xdr:row>25</xdr:row>
      <xdr:rowOff>205740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4417023" y="4841800"/>
          <a:ext cx="0" cy="13927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354405</xdr:colOff>
      <xdr:row>21</xdr:row>
      <xdr:rowOff>0</xdr:rowOff>
    </xdr:from>
    <xdr:to>
      <xdr:col>6</xdr:col>
      <xdr:colOff>491565</xdr:colOff>
      <xdr:row>22</xdr:row>
      <xdr:rowOff>38100</xdr:rowOff>
    </xdr:to>
    <xdr:sp macro="" textlink="">
      <xdr:nvSpPr>
        <xdr:cNvPr id="46" name="テキスト ボックス 257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3947758" y="5102412"/>
          <a:ext cx="3252395" cy="269688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毎年のFCFを直ちに利率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%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／年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で銀行預金する</a:t>
          </a:r>
        </a:p>
      </xdr:txBody>
    </xdr:sp>
    <xdr:clientData/>
  </xdr:twoCellAnchor>
  <xdr:twoCellAnchor>
    <xdr:from>
      <xdr:col>1</xdr:col>
      <xdr:colOff>560145</xdr:colOff>
      <xdr:row>11</xdr:row>
      <xdr:rowOff>121920</xdr:rowOff>
    </xdr:from>
    <xdr:to>
      <xdr:col>2</xdr:col>
      <xdr:colOff>510615</xdr:colOff>
      <xdr:row>14</xdr:row>
      <xdr:rowOff>22225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pSpPr/>
      </xdr:nvGrpSpPr>
      <xdr:grpSpPr>
        <a:xfrm>
          <a:off x="2102751" y="2821480"/>
          <a:ext cx="1005937" cy="570121"/>
          <a:chOff x="0" y="0"/>
          <a:chExt cx="621102" cy="586596"/>
        </a:xfrm>
      </xdr:grpSpPr>
      <xdr:sp macro="" textlink="">
        <xdr:nvSpPr>
          <xdr:cNvPr id="93" name="テキスト ボックス 264">
            <a:extLst>
              <a:ext uri="{FF2B5EF4-FFF2-40B4-BE49-F238E27FC236}">
                <a16:creationId xmlns:a16="http://schemas.microsoft.com/office/drawing/2014/main" id="{00000000-0008-0000-0300-00005D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7%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94" name="環状矢印 265">
            <a:extLst>
              <a:ext uri="{FF2B5EF4-FFF2-40B4-BE49-F238E27FC236}">
                <a16:creationId xmlns:a16="http://schemas.microsoft.com/office/drawing/2014/main" id="{00000000-0008-0000-0300-00005E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674445</xdr:colOff>
      <xdr:row>11</xdr:row>
      <xdr:rowOff>137160</xdr:rowOff>
    </xdr:from>
    <xdr:to>
      <xdr:col>6</xdr:col>
      <xdr:colOff>624915</xdr:colOff>
      <xdr:row>14</xdr:row>
      <xdr:rowOff>37465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GrpSpPr/>
      </xdr:nvGrpSpPr>
      <xdr:grpSpPr>
        <a:xfrm>
          <a:off x="6438920" y="2836720"/>
          <a:ext cx="1005937" cy="570121"/>
          <a:chOff x="0" y="0"/>
          <a:chExt cx="621102" cy="586596"/>
        </a:xfrm>
      </xdr:grpSpPr>
      <xdr:sp macro="" textlink="">
        <xdr:nvSpPr>
          <xdr:cNvPr id="96" name="テキスト ボックス 267">
            <a:extLst>
              <a:ext uri="{FF2B5EF4-FFF2-40B4-BE49-F238E27FC236}">
                <a16:creationId xmlns:a16="http://schemas.microsoft.com/office/drawing/2014/main" id="{00000000-0008-0000-0300-000060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7%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97" name="環状矢印 268">
            <a:extLst>
              <a:ext uri="{FF2B5EF4-FFF2-40B4-BE49-F238E27FC236}">
                <a16:creationId xmlns:a16="http://schemas.microsoft.com/office/drawing/2014/main" id="{00000000-0008-0000-0300-000061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697305</xdr:colOff>
      <xdr:row>11</xdr:row>
      <xdr:rowOff>137160</xdr:rowOff>
    </xdr:from>
    <xdr:to>
      <xdr:col>5</xdr:col>
      <xdr:colOff>647775</xdr:colOff>
      <xdr:row>14</xdr:row>
      <xdr:rowOff>37465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GrpSpPr/>
      </xdr:nvGrpSpPr>
      <xdr:grpSpPr>
        <a:xfrm>
          <a:off x="5406313" y="2836720"/>
          <a:ext cx="1005937" cy="570121"/>
          <a:chOff x="0" y="0"/>
          <a:chExt cx="621102" cy="586596"/>
        </a:xfrm>
      </xdr:grpSpPr>
      <xdr:sp macro="" textlink="">
        <xdr:nvSpPr>
          <xdr:cNvPr id="99" name="テキスト ボックス 270">
            <a:extLst>
              <a:ext uri="{FF2B5EF4-FFF2-40B4-BE49-F238E27FC236}">
                <a16:creationId xmlns:a16="http://schemas.microsoft.com/office/drawing/2014/main" id="{00000000-0008-0000-0300-000063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7%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00" name="環状矢印 271">
            <a:extLst>
              <a:ext uri="{FF2B5EF4-FFF2-40B4-BE49-F238E27FC236}">
                <a16:creationId xmlns:a16="http://schemas.microsoft.com/office/drawing/2014/main" id="{00000000-0008-0000-0300-000064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651585</xdr:colOff>
      <xdr:row>11</xdr:row>
      <xdr:rowOff>144780</xdr:rowOff>
    </xdr:from>
    <xdr:to>
      <xdr:col>4</xdr:col>
      <xdr:colOff>602055</xdr:colOff>
      <xdr:row>14</xdr:row>
      <xdr:rowOff>45085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GrpSpPr/>
      </xdr:nvGrpSpPr>
      <xdr:grpSpPr>
        <a:xfrm>
          <a:off x="4305125" y="2844340"/>
          <a:ext cx="1005938" cy="570121"/>
          <a:chOff x="0" y="0"/>
          <a:chExt cx="621102" cy="586596"/>
        </a:xfrm>
      </xdr:grpSpPr>
      <xdr:sp macro="" textlink="">
        <xdr:nvSpPr>
          <xdr:cNvPr id="102" name="テキスト ボックス 1125">
            <a:extLst>
              <a:ext uri="{FF2B5EF4-FFF2-40B4-BE49-F238E27FC236}">
                <a16:creationId xmlns:a16="http://schemas.microsoft.com/office/drawing/2014/main" id="{00000000-0008-0000-0300-000066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7%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03" name="環状矢印 1126">
            <a:extLst>
              <a:ext uri="{FF2B5EF4-FFF2-40B4-BE49-F238E27FC236}">
                <a16:creationId xmlns:a16="http://schemas.microsoft.com/office/drawing/2014/main" id="{00000000-0008-0000-0300-000067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598245</xdr:colOff>
      <xdr:row>11</xdr:row>
      <xdr:rowOff>121920</xdr:rowOff>
    </xdr:from>
    <xdr:to>
      <xdr:col>3</xdr:col>
      <xdr:colOff>548715</xdr:colOff>
      <xdr:row>14</xdr:row>
      <xdr:rowOff>22225</xdr:rowOff>
    </xdr:to>
    <xdr:grpSp>
      <xdr:nvGrpSpPr>
        <xdr:cNvPr id="104" name="グループ化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/>
      </xdr:nvGrpSpPr>
      <xdr:grpSpPr>
        <a:xfrm>
          <a:off x="3196318" y="2821480"/>
          <a:ext cx="1005937" cy="570121"/>
          <a:chOff x="0" y="0"/>
          <a:chExt cx="621102" cy="586596"/>
        </a:xfrm>
      </xdr:grpSpPr>
      <xdr:sp macro="" textlink="">
        <xdr:nvSpPr>
          <xdr:cNvPr id="105" name="テキスト ボックス 1128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7%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06" name="環状矢印 1129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560145</xdr:colOff>
      <xdr:row>44</xdr:row>
      <xdr:rowOff>121920</xdr:rowOff>
    </xdr:from>
    <xdr:to>
      <xdr:col>2</xdr:col>
      <xdr:colOff>510615</xdr:colOff>
      <xdr:row>47</xdr:row>
      <xdr:rowOff>0</xdr:rowOff>
    </xdr:to>
    <xdr:grpSp>
      <xdr:nvGrpSpPr>
        <xdr:cNvPr id="107" name="グループ化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GrpSpPr/>
      </xdr:nvGrpSpPr>
      <xdr:grpSpPr>
        <a:xfrm>
          <a:off x="2102751" y="10554808"/>
          <a:ext cx="1005937" cy="547896"/>
          <a:chOff x="0" y="0"/>
          <a:chExt cx="621102" cy="586596"/>
        </a:xfrm>
      </xdr:grpSpPr>
      <xdr:sp macro="" textlink="">
        <xdr:nvSpPr>
          <xdr:cNvPr id="108" name="テキスト ボックス 264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10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09" name="環状矢印 265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773505</xdr:colOff>
      <xdr:row>44</xdr:row>
      <xdr:rowOff>167640</xdr:rowOff>
    </xdr:from>
    <xdr:to>
      <xdr:col>6</xdr:col>
      <xdr:colOff>723975</xdr:colOff>
      <xdr:row>47</xdr:row>
      <xdr:rowOff>0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GrpSpPr/>
      </xdr:nvGrpSpPr>
      <xdr:grpSpPr>
        <a:xfrm>
          <a:off x="6537980" y="10600528"/>
          <a:ext cx="1005937" cy="502176"/>
          <a:chOff x="0" y="0"/>
          <a:chExt cx="621102" cy="586596"/>
        </a:xfrm>
      </xdr:grpSpPr>
      <xdr:sp macro="" textlink="">
        <xdr:nvSpPr>
          <xdr:cNvPr id="111" name="テキスト ボックス 267">
            <a:extLst>
              <a:ext uri="{FF2B5EF4-FFF2-40B4-BE49-F238E27FC236}">
                <a16:creationId xmlns:a16="http://schemas.microsoft.com/office/drawing/2014/main" id="{00000000-0008-0000-0300-00006F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10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12" name="環状矢印 268">
            <a:extLst>
              <a:ext uri="{FF2B5EF4-FFF2-40B4-BE49-F238E27FC236}">
                <a16:creationId xmlns:a16="http://schemas.microsoft.com/office/drawing/2014/main" id="{00000000-0008-0000-0300-000070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697305</xdr:colOff>
      <xdr:row>44</xdr:row>
      <xdr:rowOff>137160</xdr:rowOff>
    </xdr:from>
    <xdr:to>
      <xdr:col>5</xdr:col>
      <xdr:colOff>647775</xdr:colOff>
      <xdr:row>47</xdr:row>
      <xdr:rowOff>0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GrpSpPr/>
      </xdr:nvGrpSpPr>
      <xdr:grpSpPr>
        <a:xfrm>
          <a:off x="5406313" y="10570048"/>
          <a:ext cx="1005937" cy="532656"/>
          <a:chOff x="0" y="0"/>
          <a:chExt cx="621102" cy="586596"/>
        </a:xfrm>
      </xdr:grpSpPr>
      <xdr:sp macro="" textlink="">
        <xdr:nvSpPr>
          <xdr:cNvPr id="114" name="テキスト ボックス 270">
            <a:extLst>
              <a:ext uri="{FF2B5EF4-FFF2-40B4-BE49-F238E27FC236}">
                <a16:creationId xmlns:a16="http://schemas.microsoft.com/office/drawing/2014/main" id="{00000000-0008-0000-0300-000072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10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15" name="環状矢印 271">
            <a:extLst>
              <a:ext uri="{FF2B5EF4-FFF2-40B4-BE49-F238E27FC236}">
                <a16:creationId xmlns:a16="http://schemas.microsoft.com/office/drawing/2014/main" id="{00000000-0008-0000-0300-000073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651585</xdr:colOff>
      <xdr:row>44</xdr:row>
      <xdr:rowOff>144780</xdr:rowOff>
    </xdr:from>
    <xdr:to>
      <xdr:col>4</xdr:col>
      <xdr:colOff>602055</xdr:colOff>
      <xdr:row>47</xdr:row>
      <xdr:rowOff>0</xdr:rowOff>
    </xdr:to>
    <xdr:grpSp>
      <xdr:nvGrpSpPr>
        <xdr:cNvPr id="116" name="グループ化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GrpSpPr/>
      </xdr:nvGrpSpPr>
      <xdr:grpSpPr>
        <a:xfrm>
          <a:off x="4305125" y="10577668"/>
          <a:ext cx="1005938" cy="525036"/>
          <a:chOff x="0" y="0"/>
          <a:chExt cx="621102" cy="586596"/>
        </a:xfrm>
      </xdr:grpSpPr>
      <xdr:sp macro="" textlink="">
        <xdr:nvSpPr>
          <xdr:cNvPr id="117" name="テキスト ボックス 1125">
            <a:extLst>
              <a:ext uri="{FF2B5EF4-FFF2-40B4-BE49-F238E27FC236}">
                <a16:creationId xmlns:a16="http://schemas.microsoft.com/office/drawing/2014/main" id="{00000000-0008-0000-0300-000075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10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18" name="環状矢印 1126">
            <a:extLst>
              <a:ext uri="{FF2B5EF4-FFF2-40B4-BE49-F238E27FC236}">
                <a16:creationId xmlns:a16="http://schemas.microsoft.com/office/drawing/2014/main" id="{00000000-0008-0000-0300-000076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598245</xdr:colOff>
      <xdr:row>44</xdr:row>
      <xdr:rowOff>121920</xdr:rowOff>
    </xdr:from>
    <xdr:to>
      <xdr:col>3</xdr:col>
      <xdr:colOff>548715</xdr:colOff>
      <xdr:row>47</xdr:row>
      <xdr:rowOff>0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pSpPr/>
      </xdr:nvGrpSpPr>
      <xdr:grpSpPr>
        <a:xfrm>
          <a:off x="3196318" y="10554808"/>
          <a:ext cx="1005937" cy="547896"/>
          <a:chOff x="0" y="0"/>
          <a:chExt cx="621102" cy="586596"/>
        </a:xfrm>
      </xdr:grpSpPr>
      <xdr:sp macro="" textlink="">
        <xdr:nvSpPr>
          <xdr:cNvPr id="120" name="テキスト ボックス 1128">
            <a:extLst>
              <a:ext uri="{FF2B5EF4-FFF2-40B4-BE49-F238E27FC236}">
                <a16:creationId xmlns:a16="http://schemas.microsoft.com/office/drawing/2014/main" id="{00000000-0008-0000-0300-000078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10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121" name="環状矢印 1129">
            <a:extLst>
              <a:ext uri="{FF2B5EF4-FFF2-40B4-BE49-F238E27FC236}">
                <a16:creationId xmlns:a16="http://schemas.microsoft.com/office/drawing/2014/main" id="{00000000-0008-0000-0300-000079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280670</xdr:colOff>
      <xdr:row>26</xdr:row>
      <xdr:rowOff>106680</xdr:rowOff>
    </xdr:from>
    <xdr:to>
      <xdr:col>2</xdr:col>
      <xdr:colOff>445770</xdr:colOff>
      <xdr:row>28</xdr:row>
      <xdr:rowOff>132080</xdr:rowOff>
    </xdr:to>
    <xdr:sp macro="" textlink="">
      <xdr:nvSpPr>
        <xdr:cNvPr id="19" name="円弧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 rot="10800000">
          <a:off x="2630170" y="62788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271780</xdr:colOff>
      <xdr:row>28</xdr:row>
      <xdr:rowOff>114300</xdr:rowOff>
    </xdr:from>
    <xdr:to>
      <xdr:col>3</xdr:col>
      <xdr:colOff>436880</xdr:colOff>
      <xdr:row>30</xdr:row>
      <xdr:rowOff>139700</xdr:rowOff>
    </xdr:to>
    <xdr:sp macro="" textlink="">
      <xdr:nvSpPr>
        <xdr:cNvPr id="20" name="円弧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 rot="10800000">
          <a:off x="3453130" y="67437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280670</xdr:colOff>
      <xdr:row>28</xdr:row>
      <xdr:rowOff>106680</xdr:rowOff>
    </xdr:from>
    <xdr:to>
      <xdr:col>2</xdr:col>
      <xdr:colOff>445770</xdr:colOff>
      <xdr:row>30</xdr:row>
      <xdr:rowOff>132080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 rot="10800000">
          <a:off x="2630170" y="67360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30</xdr:row>
      <xdr:rowOff>91440</xdr:rowOff>
    </xdr:from>
    <xdr:to>
      <xdr:col>4</xdr:col>
      <xdr:colOff>455218</xdr:colOff>
      <xdr:row>32</xdr:row>
      <xdr:rowOff>116840</xdr:rowOff>
    </xdr:to>
    <xdr:sp macro="" textlink="">
      <xdr:nvSpPr>
        <xdr:cNvPr id="22" name="円弧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 rot="10800000">
          <a:off x="4293406" y="2856942"/>
          <a:ext cx="165100" cy="486318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271780</xdr:colOff>
      <xdr:row>30</xdr:row>
      <xdr:rowOff>114300</xdr:rowOff>
    </xdr:from>
    <xdr:to>
      <xdr:col>3</xdr:col>
      <xdr:colOff>436880</xdr:colOff>
      <xdr:row>32</xdr:row>
      <xdr:rowOff>139700</xdr:rowOff>
    </xdr:to>
    <xdr:sp macro="" textlink="">
      <xdr:nvSpPr>
        <xdr:cNvPr id="23" name="円弧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 rot="10800000">
          <a:off x="3453130" y="72009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280670</xdr:colOff>
      <xdr:row>30</xdr:row>
      <xdr:rowOff>106680</xdr:rowOff>
    </xdr:from>
    <xdr:to>
      <xdr:col>2</xdr:col>
      <xdr:colOff>445770</xdr:colOff>
      <xdr:row>32</xdr:row>
      <xdr:rowOff>132080</xdr:rowOff>
    </xdr:to>
    <xdr:sp macro="" textlink="">
      <xdr:nvSpPr>
        <xdr:cNvPr id="24" name="円弧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 rot="10800000">
          <a:off x="2630170" y="71932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282870</xdr:colOff>
      <xdr:row>32</xdr:row>
      <xdr:rowOff>99432</xdr:rowOff>
    </xdr:from>
    <xdr:to>
      <xdr:col>5</xdr:col>
      <xdr:colOff>447970</xdr:colOff>
      <xdr:row>34</xdr:row>
      <xdr:rowOff>124832</xdr:rowOff>
    </xdr:to>
    <xdr:sp macro="" textlink="">
      <xdr:nvSpPr>
        <xdr:cNvPr id="25" name="円弧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 rot="10800000">
          <a:off x="5115065" y="3325852"/>
          <a:ext cx="165100" cy="48631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32</xdr:row>
      <xdr:rowOff>91440</xdr:rowOff>
    </xdr:from>
    <xdr:to>
      <xdr:col>4</xdr:col>
      <xdr:colOff>455218</xdr:colOff>
      <xdr:row>34</xdr:row>
      <xdr:rowOff>116840</xdr:rowOff>
    </xdr:to>
    <xdr:sp macro="" textlink="">
      <xdr:nvSpPr>
        <xdr:cNvPr id="26" name="円弧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 rot="10800000">
          <a:off x="4293406" y="3317860"/>
          <a:ext cx="165100" cy="486317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271780</xdr:colOff>
      <xdr:row>32</xdr:row>
      <xdr:rowOff>114300</xdr:rowOff>
    </xdr:from>
    <xdr:to>
      <xdr:col>3</xdr:col>
      <xdr:colOff>436880</xdr:colOff>
      <xdr:row>34</xdr:row>
      <xdr:rowOff>139700</xdr:rowOff>
    </xdr:to>
    <xdr:sp macro="" textlink="">
      <xdr:nvSpPr>
        <xdr:cNvPr id="27" name="円弧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 rot="10800000">
          <a:off x="3453130" y="76581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280670</xdr:colOff>
      <xdr:row>32</xdr:row>
      <xdr:rowOff>106680</xdr:rowOff>
    </xdr:from>
    <xdr:to>
      <xdr:col>2</xdr:col>
      <xdr:colOff>445770</xdr:colOff>
      <xdr:row>34</xdr:row>
      <xdr:rowOff>132080</xdr:rowOff>
    </xdr:to>
    <xdr:sp macro="" textlink="">
      <xdr:nvSpPr>
        <xdr:cNvPr id="28" name="円弧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 rot="10800000">
          <a:off x="2630170" y="76504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638811</xdr:colOff>
      <xdr:row>36</xdr:row>
      <xdr:rowOff>63501</xdr:rowOff>
    </xdr:from>
    <xdr:to>
      <xdr:col>7</xdr:col>
      <xdr:colOff>44451</xdr:colOff>
      <xdr:row>36</xdr:row>
      <xdr:rowOff>292100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156461" y="8521701"/>
          <a:ext cx="4396740" cy="228599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624840</xdr:colOff>
      <xdr:row>21</xdr:row>
      <xdr:rowOff>219075</xdr:rowOff>
    </xdr:from>
    <xdr:to>
      <xdr:col>2</xdr:col>
      <xdr:colOff>624840</xdr:colOff>
      <xdr:row>25</xdr:row>
      <xdr:rowOff>203200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2974340" y="5248275"/>
          <a:ext cx="0" cy="898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649605</xdr:colOff>
      <xdr:row>21</xdr:row>
      <xdr:rowOff>194945</xdr:rowOff>
    </xdr:from>
    <xdr:to>
      <xdr:col>5</xdr:col>
      <xdr:colOff>649605</xdr:colOff>
      <xdr:row>31</xdr:row>
      <xdr:rowOff>213360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5488305" y="1109345"/>
          <a:ext cx="0" cy="20758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649605</xdr:colOff>
      <xdr:row>21</xdr:row>
      <xdr:rowOff>199390</xdr:rowOff>
    </xdr:from>
    <xdr:to>
      <xdr:col>4</xdr:col>
      <xdr:colOff>649605</xdr:colOff>
      <xdr:row>30</xdr:row>
      <xdr:rowOff>7620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4657725" y="1113790"/>
          <a:ext cx="0" cy="16370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629285</xdr:colOff>
      <xdr:row>21</xdr:row>
      <xdr:rowOff>205740</xdr:rowOff>
    </xdr:from>
    <xdr:to>
      <xdr:col>6</xdr:col>
      <xdr:colOff>629285</xdr:colOff>
      <xdr:row>34</xdr:row>
      <xdr:rowOff>15240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6298565" y="1120140"/>
          <a:ext cx="0" cy="255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636905</xdr:colOff>
      <xdr:row>21</xdr:row>
      <xdr:rowOff>202565</xdr:rowOff>
    </xdr:from>
    <xdr:to>
      <xdr:col>3</xdr:col>
      <xdr:colOff>636905</xdr:colOff>
      <xdr:row>27</xdr:row>
      <xdr:rowOff>205740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3814445" y="1116965"/>
          <a:ext cx="0" cy="1146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758190</xdr:colOff>
      <xdr:row>22</xdr:row>
      <xdr:rowOff>222250</xdr:rowOff>
    </xdr:from>
    <xdr:to>
      <xdr:col>6</xdr:col>
      <xdr:colOff>438150</xdr:colOff>
      <xdr:row>24</xdr:row>
      <xdr:rowOff>31750</xdr:rowOff>
    </xdr:to>
    <xdr:sp macro="" textlink="">
      <xdr:nvSpPr>
        <xdr:cNvPr id="35" name="テキスト ボックス 25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3107690" y="3651250"/>
          <a:ext cx="3007360" cy="2667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毎年のFCFを直ちに利率8%／年で銀行預金する</a:t>
          </a:r>
        </a:p>
      </xdr:txBody>
    </xdr:sp>
    <xdr:clientData/>
  </xdr:twoCellAnchor>
  <xdr:twoCellAnchor>
    <xdr:from>
      <xdr:col>1</xdr:col>
      <xdr:colOff>373380</xdr:colOff>
      <xdr:row>13</xdr:row>
      <xdr:rowOff>121920</xdr:rowOff>
    </xdr:from>
    <xdr:to>
      <xdr:col>2</xdr:col>
      <xdr:colOff>323850</xdr:colOff>
      <xdr:row>16</xdr:row>
      <xdr:rowOff>22225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pSpPr/>
      </xdr:nvGrpSpPr>
      <xdr:grpSpPr>
        <a:xfrm>
          <a:off x="1917508" y="3270562"/>
          <a:ext cx="795859" cy="573165"/>
          <a:chOff x="0" y="0"/>
          <a:chExt cx="621102" cy="586596"/>
        </a:xfrm>
      </xdr:grpSpPr>
      <xdr:sp macro="" textlink="">
        <xdr:nvSpPr>
          <xdr:cNvPr id="37" name="テキスト ボックス 264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8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38" name="環状矢印 265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487680</xdr:colOff>
      <xdr:row>13</xdr:row>
      <xdr:rowOff>137160</xdr:rowOff>
    </xdr:from>
    <xdr:to>
      <xdr:col>6</xdr:col>
      <xdr:colOff>438150</xdr:colOff>
      <xdr:row>16</xdr:row>
      <xdr:rowOff>37465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pSpPr/>
      </xdr:nvGrpSpPr>
      <xdr:grpSpPr>
        <a:xfrm>
          <a:off x="5413363" y="3285802"/>
          <a:ext cx="795859" cy="573165"/>
          <a:chOff x="0" y="0"/>
          <a:chExt cx="621102" cy="586596"/>
        </a:xfrm>
      </xdr:grpSpPr>
      <xdr:sp macro="" textlink="">
        <xdr:nvSpPr>
          <xdr:cNvPr id="40" name="テキスト ボックス 267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8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1" name="環状矢印 268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510540</xdr:colOff>
      <xdr:row>13</xdr:row>
      <xdr:rowOff>137160</xdr:rowOff>
    </xdr:from>
    <xdr:to>
      <xdr:col>5</xdr:col>
      <xdr:colOff>461010</xdr:colOff>
      <xdr:row>16</xdr:row>
      <xdr:rowOff>37465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pSpPr/>
      </xdr:nvGrpSpPr>
      <xdr:grpSpPr>
        <a:xfrm>
          <a:off x="4590834" y="3285802"/>
          <a:ext cx="795859" cy="573165"/>
          <a:chOff x="0" y="0"/>
          <a:chExt cx="621102" cy="586596"/>
        </a:xfrm>
      </xdr:grpSpPr>
      <xdr:sp macro="" textlink="">
        <xdr:nvSpPr>
          <xdr:cNvPr id="43" name="テキスト ボックス 270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8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4" name="環状矢印 271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464820</xdr:colOff>
      <xdr:row>13</xdr:row>
      <xdr:rowOff>144780</xdr:rowOff>
    </xdr:from>
    <xdr:to>
      <xdr:col>4</xdr:col>
      <xdr:colOff>415290</xdr:colOff>
      <xdr:row>16</xdr:row>
      <xdr:rowOff>45085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GrpSpPr/>
      </xdr:nvGrpSpPr>
      <xdr:grpSpPr>
        <a:xfrm>
          <a:off x="3699726" y="3293422"/>
          <a:ext cx="795858" cy="573165"/>
          <a:chOff x="0" y="0"/>
          <a:chExt cx="621102" cy="586596"/>
        </a:xfrm>
      </xdr:grpSpPr>
      <xdr:sp macro="" textlink="">
        <xdr:nvSpPr>
          <xdr:cNvPr id="46" name="テキスト ボックス 112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8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47" name="環状矢印 112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411480</xdr:colOff>
      <xdr:row>13</xdr:row>
      <xdr:rowOff>121920</xdr:rowOff>
    </xdr:from>
    <xdr:to>
      <xdr:col>3</xdr:col>
      <xdr:colOff>361950</xdr:colOff>
      <xdr:row>16</xdr:row>
      <xdr:rowOff>22225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pSpPr/>
      </xdr:nvGrpSpPr>
      <xdr:grpSpPr>
        <a:xfrm>
          <a:off x="2800997" y="3270562"/>
          <a:ext cx="795859" cy="573165"/>
          <a:chOff x="0" y="0"/>
          <a:chExt cx="621102" cy="586596"/>
        </a:xfrm>
      </xdr:grpSpPr>
      <xdr:sp macro="" textlink="">
        <xdr:nvSpPr>
          <xdr:cNvPr id="49" name="テキスト ボックス 112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 txBox="1"/>
        </xdr:nvSpPr>
        <xdr:spPr>
          <a:xfrm>
            <a:off x="0" y="370936"/>
            <a:ext cx="621102" cy="215660"/>
          </a:xfrm>
          <a:prstGeom prst="rect">
            <a:avLst/>
          </a:prstGeom>
          <a:solidFill>
            <a:schemeClr val="lt1"/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n-US" alt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8</a:t>
            </a:r>
            <a:r>
              <a:rPr lang="en-US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%</a:t>
            </a:r>
            <a:r>
              <a:rPr lang="ja-JP" sz="900" kern="100">
                <a:effectLst/>
                <a:latin typeface="+mn-ea"/>
                <a:ea typeface="+mn-ea"/>
                <a:cs typeface="ＭＳ 明朝" panose="02020609040205080304" pitchFamily="17" charset="-128"/>
              </a:rPr>
              <a:t>増加</a:t>
            </a:r>
            <a:endParaRPr lang="ja-JP" sz="1050" kern="100">
              <a:effectLst/>
              <a:latin typeface="+mn-ea"/>
              <a:ea typeface="+mn-ea"/>
              <a:cs typeface="ＭＳ 明朝" panose="02020609040205080304" pitchFamily="17" charset="-128"/>
            </a:endParaRPr>
          </a:p>
        </xdr:txBody>
      </xdr:sp>
      <xdr:sp macro="" textlink="">
        <xdr:nvSpPr>
          <xdr:cNvPr id="50" name="環状矢印 1129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/>
        </xdr:nvSpPr>
        <xdr:spPr>
          <a:xfrm flipV="1">
            <a:off x="86264" y="0"/>
            <a:ext cx="431165" cy="370936"/>
          </a:xfrm>
          <a:prstGeom prst="circularArrow">
            <a:avLst>
              <a:gd name="adj1" fmla="val 1301"/>
              <a:gd name="adj2" fmla="val 1278765"/>
              <a:gd name="adj3" fmla="val 20235158"/>
              <a:gd name="adj4" fmla="val 10800000"/>
              <a:gd name="adj5" fmla="val 628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22</xdr:row>
      <xdr:rowOff>106680</xdr:rowOff>
    </xdr:from>
    <xdr:to>
      <xdr:col>2</xdr:col>
      <xdr:colOff>363220</xdr:colOff>
      <xdr:row>24</xdr:row>
      <xdr:rowOff>132080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0800000">
          <a:off x="2545080" y="19354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24</xdr:row>
      <xdr:rowOff>114300</xdr:rowOff>
    </xdr:from>
    <xdr:to>
      <xdr:col>3</xdr:col>
      <xdr:colOff>424180</xdr:colOff>
      <xdr:row>26</xdr:row>
      <xdr:rowOff>139700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3436620" y="24003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24</xdr:row>
      <xdr:rowOff>106680</xdr:rowOff>
    </xdr:from>
    <xdr:to>
      <xdr:col>2</xdr:col>
      <xdr:colOff>363220</xdr:colOff>
      <xdr:row>26</xdr:row>
      <xdr:rowOff>132080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2545080" y="23926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26</xdr:row>
      <xdr:rowOff>91440</xdr:rowOff>
    </xdr:from>
    <xdr:to>
      <xdr:col>4</xdr:col>
      <xdr:colOff>455218</xdr:colOff>
      <xdr:row>28</xdr:row>
      <xdr:rowOff>116840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rot="10800000">
          <a:off x="4298238" y="283464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26</xdr:row>
      <xdr:rowOff>114300</xdr:rowOff>
    </xdr:from>
    <xdr:to>
      <xdr:col>3</xdr:col>
      <xdr:colOff>424180</xdr:colOff>
      <xdr:row>28</xdr:row>
      <xdr:rowOff>139700</xdr:rowOff>
    </xdr:to>
    <xdr:sp macro="" textlink="">
      <xdr:nvSpPr>
        <xdr:cNvPr id="6" name="円弧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3436620" y="28575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26</xdr:row>
      <xdr:rowOff>106680</xdr:rowOff>
    </xdr:from>
    <xdr:to>
      <xdr:col>2</xdr:col>
      <xdr:colOff>363220</xdr:colOff>
      <xdr:row>28</xdr:row>
      <xdr:rowOff>132080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2545080" y="28498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282870</xdr:colOff>
      <xdr:row>28</xdr:row>
      <xdr:rowOff>99432</xdr:rowOff>
    </xdr:from>
    <xdr:to>
      <xdr:col>5</xdr:col>
      <xdr:colOff>447970</xdr:colOff>
      <xdr:row>30</xdr:row>
      <xdr:rowOff>124832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5121570" y="3299832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28</xdr:row>
      <xdr:rowOff>91440</xdr:rowOff>
    </xdr:from>
    <xdr:to>
      <xdr:col>4</xdr:col>
      <xdr:colOff>455218</xdr:colOff>
      <xdr:row>30</xdr:row>
      <xdr:rowOff>116840</xdr:rowOff>
    </xdr:to>
    <xdr:sp macro="" textlink="">
      <xdr:nvSpPr>
        <xdr:cNvPr id="9" name="円弧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4298238" y="329184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28</xdr:row>
      <xdr:rowOff>114300</xdr:rowOff>
    </xdr:from>
    <xdr:to>
      <xdr:col>3</xdr:col>
      <xdr:colOff>424180</xdr:colOff>
      <xdr:row>30</xdr:row>
      <xdr:rowOff>139700</xdr:rowOff>
    </xdr:to>
    <xdr:sp macro="" textlink="">
      <xdr:nvSpPr>
        <xdr:cNvPr id="10" name="円弧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3436620" y="331470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28</xdr:row>
      <xdr:rowOff>106680</xdr:rowOff>
    </xdr:from>
    <xdr:to>
      <xdr:col>2</xdr:col>
      <xdr:colOff>363220</xdr:colOff>
      <xdr:row>30</xdr:row>
      <xdr:rowOff>132080</xdr:rowOff>
    </xdr:to>
    <xdr:sp macro="" textlink="">
      <xdr:nvSpPr>
        <xdr:cNvPr id="11" name="円弧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545080" y="3307080"/>
          <a:ext cx="165100" cy="482600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624840</xdr:colOff>
      <xdr:row>17</xdr:row>
      <xdr:rowOff>205937</xdr:rowOff>
    </xdr:from>
    <xdr:to>
      <xdr:col>2</xdr:col>
      <xdr:colOff>624840</xdr:colOff>
      <xdr:row>21</xdr:row>
      <xdr:rowOff>188568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3015943" y="3389696"/>
          <a:ext cx="0" cy="8935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649605</xdr:colOff>
      <xdr:row>17</xdr:row>
      <xdr:rowOff>194945</xdr:rowOff>
    </xdr:from>
    <xdr:to>
      <xdr:col>5</xdr:col>
      <xdr:colOff>649605</xdr:colOff>
      <xdr:row>27</xdr:row>
      <xdr:rowOff>213360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5488305" y="1109345"/>
          <a:ext cx="0" cy="20758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649605</xdr:colOff>
      <xdr:row>17</xdr:row>
      <xdr:rowOff>199390</xdr:rowOff>
    </xdr:from>
    <xdr:to>
      <xdr:col>4</xdr:col>
      <xdr:colOff>649605</xdr:colOff>
      <xdr:row>26</xdr:row>
      <xdr:rowOff>7620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4657725" y="1113790"/>
          <a:ext cx="0" cy="16370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629285</xdr:colOff>
      <xdr:row>17</xdr:row>
      <xdr:rowOff>205740</xdr:rowOff>
    </xdr:from>
    <xdr:to>
      <xdr:col>6</xdr:col>
      <xdr:colOff>629285</xdr:colOff>
      <xdr:row>30</xdr:row>
      <xdr:rowOff>15240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6298565" y="1120140"/>
          <a:ext cx="0" cy="255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636905</xdr:colOff>
      <xdr:row>17</xdr:row>
      <xdr:rowOff>202565</xdr:rowOff>
    </xdr:from>
    <xdr:to>
      <xdr:col>3</xdr:col>
      <xdr:colOff>636905</xdr:colOff>
      <xdr:row>23</xdr:row>
      <xdr:rowOff>205740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3814445" y="1116965"/>
          <a:ext cx="0" cy="1146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679450</xdr:colOff>
      <xdr:row>19</xdr:row>
      <xdr:rowOff>1</xdr:rowOff>
    </xdr:from>
    <xdr:to>
      <xdr:col>6</xdr:col>
      <xdr:colOff>304800</xdr:colOff>
      <xdr:row>20</xdr:row>
      <xdr:rowOff>6351</xdr:rowOff>
    </xdr:to>
    <xdr:sp macro="" textlink="">
      <xdr:nvSpPr>
        <xdr:cNvPr id="18" name="テキスト ボックス 25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806700" y="5575301"/>
          <a:ext cx="2927350" cy="2349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毎年のFCFを直ちに利率8%／年で銀行預金する</a:t>
          </a:r>
        </a:p>
      </xdr:txBody>
    </xdr:sp>
    <xdr:clientData/>
  </xdr:twoCellAnchor>
  <xdr:twoCellAnchor>
    <xdr:from>
      <xdr:col>2</xdr:col>
      <xdr:colOff>198120</xdr:colOff>
      <xdr:row>43</xdr:row>
      <xdr:rowOff>106680</xdr:rowOff>
    </xdr:from>
    <xdr:to>
      <xdr:col>2</xdr:col>
      <xdr:colOff>363220</xdr:colOff>
      <xdr:row>45</xdr:row>
      <xdr:rowOff>132080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 rot="10800000">
          <a:off x="2546873" y="1971339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45</xdr:row>
      <xdr:rowOff>114300</xdr:rowOff>
    </xdr:from>
    <xdr:to>
      <xdr:col>3</xdr:col>
      <xdr:colOff>424180</xdr:colOff>
      <xdr:row>47</xdr:row>
      <xdr:rowOff>139700</xdr:rowOff>
    </xdr:to>
    <xdr:sp macro="" textlink="">
      <xdr:nvSpPr>
        <xdr:cNvPr id="35" name="円弧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 rot="10800000">
          <a:off x="3441551" y="2445124"/>
          <a:ext cx="165100" cy="491564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45</xdr:row>
      <xdr:rowOff>106680</xdr:rowOff>
    </xdr:from>
    <xdr:to>
      <xdr:col>2</xdr:col>
      <xdr:colOff>363220</xdr:colOff>
      <xdr:row>47</xdr:row>
      <xdr:rowOff>132080</xdr:rowOff>
    </xdr:to>
    <xdr:sp macro="" textlink="">
      <xdr:nvSpPr>
        <xdr:cNvPr id="36" name="円弧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 rot="10800000">
          <a:off x="2546873" y="2437504"/>
          <a:ext cx="165100" cy="491564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47</xdr:row>
      <xdr:rowOff>91440</xdr:rowOff>
    </xdr:from>
    <xdr:to>
      <xdr:col>4</xdr:col>
      <xdr:colOff>455218</xdr:colOff>
      <xdr:row>49</xdr:row>
      <xdr:rowOff>116840</xdr:rowOff>
    </xdr:to>
    <xdr:sp macro="" textlink="">
      <xdr:nvSpPr>
        <xdr:cNvPr id="37" name="円弧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 rot="10800000">
          <a:off x="4306306" y="2888428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47</xdr:row>
      <xdr:rowOff>114300</xdr:rowOff>
    </xdr:from>
    <xdr:to>
      <xdr:col>3</xdr:col>
      <xdr:colOff>424180</xdr:colOff>
      <xdr:row>49</xdr:row>
      <xdr:rowOff>139700</xdr:rowOff>
    </xdr:to>
    <xdr:sp macro="" textlink="">
      <xdr:nvSpPr>
        <xdr:cNvPr id="38" name="円弧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 rot="10800000">
          <a:off x="3441551" y="2911288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47</xdr:row>
      <xdr:rowOff>106680</xdr:rowOff>
    </xdr:from>
    <xdr:to>
      <xdr:col>2</xdr:col>
      <xdr:colOff>363220</xdr:colOff>
      <xdr:row>49</xdr:row>
      <xdr:rowOff>132080</xdr:rowOff>
    </xdr:to>
    <xdr:sp macro="" textlink="">
      <xdr:nvSpPr>
        <xdr:cNvPr id="39" name="円弧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 rot="10800000">
          <a:off x="2546873" y="2903668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282870</xdr:colOff>
      <xdr:row>49</xdr:row>
      <xdr:rowOff>99432</xdr:rowOff>
    </xdr:from>
    <xdr:to>
      <xdr:col>5</xdr:col>
      <xdr:colOff>447970</xdr:colOff>
      <xdr:row>51</xdr:row>
      <xdr:rowOff>124832</xdr:rowOff>
    </xdr:to>
    <xdr:sp macro="" textlink="">
      <xdr:nvSpPr>
        <xdr:cNvPr id="40" name="円弧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 rot="10800000">
          <a:off x="5132776" y="3362585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290118</xdr:colOff>
      <xdr:row>49</xdr:row>
      <xdr:rowOff>91440</xdr:rowOff>
    </xdr:from>
    <xdr:to>
      <xdr:col>4</xdr:col>
      <xdr:colOff>455218</xdr:colOff>
      <xdr:row>51</xdr:row>
      <xdr:rowOff>116840</xdr:rowOff>
    </xdr:to>
    <xdr:sp macro="" textlink="">
      <xdr:nvSpPr>
        <xdr:cNvPr id="41" name="円弧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 rot="10800000">
          <a:off x="4306306" y="3354593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259080</xdr:colOff>
      <xdr:row>49</xdr:row>
      <xdr:rowOff>114300</xdr:rowOff>
    </xdr:from>
    <xdr:to>
      <xdr:col>3</xdr:col>
      <xdr:colOff>424180</xdr:colOff>
      <xdr:row>51</xdr:row>
      <xdr:rowOff>139700</xdr:rowOff>
    </xdr:to>
    <xdr:sp macro="" textlink="">
      <xdr:nvSpPr>
        <xdr:cNvPr id="42" name="円弧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 rot="10800000">
          <a:off x="3441551" y="3377453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198120</xdr:colOff>
      <xdr:row>49</xdr:row>
      <xdr:rowOff>106680</xdr:rowOff>
    </xdr:from>
    <xdr:to>
      <xdr:col>2</xdr:col>
      <xdr:colOff>363220</xdr:colOff>
      <xdr:row>51</xdr:row>
      <xdr:rowOff>132080</xdr:rowOff>
    </xdr:to>
    <xdr:sp macro="" textlink="">
      <xdr:nvSpPr>
        <xdr:cNvPr id="43" name="円弧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 rot="10800000">
          <a:off x="2546873" y="3369833"/>
          <a:ext cx="165100" cy="491565"/>
        </a:xfrm>
        <a:prstGeom prst="arc">
          <a:avLst>
            <a:gd name="adj1" fmla="val 16337431"/>
            <a:gd name="adj2" fmla="val 5174893"/>
          </a:avLst>
        </a:prstGeom>
        <a:noFill/>
        <a:ln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632311</xdr:colOff>
      <xdr:row>39</xdr:row>
      <xdr:rowOff>2428</xdr:rowOff>
    </xdr:from>
    <xdr:to>
      <xdr:col>2</xdr:col>
      <xdr:colOff>632311</xdr:colOff>
      <xdr:row>42</xdr:row>
      <xdr:rowOff>209177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CxnSpPr/>
      </xdr:nvCxnSpPr>
      <xdr:spPr>
        <a:xfrm>
          <a:off x="3015429" y="8533840"/>
          <a:ext cx="0" cy="9015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649605</xdr:colOff>
      <xdr:row>38</xdr:row>
      <xdr:rowOff>194945</xdr:rowOff>
    </xdr:from>
    <xdr:to>
      <xdr:col>5</xdr:col>
      <xdr:colOff>649605</xdr:colOff>
      <xdr:row>48</xdr:row>
      <xdr:rowOff>213360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/>
      </xdr:nvCxnSpPr>
      <xdr:spPr>
        <a:xfrm>
          <a:off x="5499511" y="1127274"/>
          <a:ext cx="0" cy="21161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649605</xdr:colOff>
      <xdr:row>38</xdr:row>
      <xdr:rowOff>199390</xdr:rowOff>
    </xdr:from>
    <xdr:to>
      <xdr:col>4</xdr:col>
      <xdr:colOff>649605</xdr:colOff>
      <xdr:row>47</xdr:row>
      <xdr:rowOff>7620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/>
      </xdr:nvCxnSpPr>
      <xdr:spPr>
        <a:xfrm>
          <a:off x="4665793" y="1131719"/>
          <a:ext cx="0" cy="16728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629285</xdr:colOff>
      <xdr:row>38</xdr:row>
      <xdr:rowOff>205740</xdr:rowOff>
    </xdr:from>
    <xdr:to>
      <xdr:col>6</xdr:col>
      <xdr:colOff>629285</xdr:colOff>
      <xdr:row>51</xdr:row>
      <xdr:rowOff>15240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/>
      </xdr:nvCxnSpPr>
      <xdr:spPr>
        <a:xfrm>
          <a:off x="6312909" y="1138069"/>
          <a:ext cx="0" cy="26064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629434</xdr:colOff>
      <xdr:row>39</xdr:row>
      <xdr:rowOff>859</xdr:rowOff>
    </xdr:from>
    <xdr:to>
      <xdr:col>3</xdr:col>
      <xdr:colOff>629434</xdr:colOff>
      <xdr:row>45</xdr:row>
      <xdr:rowOff>4034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>
          <a:off x="3879140" y="8532271"/>
          <a:ext cx="0" cy="13927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509815</xdr:colOff>
      <xdr:row>53</xdr:row>
      <xdr:rowOff>62753</xdr:rowOff>
    </xdr:from>
    <xdr:to>
      <xdr:col>7</xdr:col>
      <xdr:colOff>27214</xdr:colOff>
      <xdr:row>53</xdr:row>
      <xdr:rowOff>353786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>
          <a:off x="1852386" y="13533824"/>
          <a:ext cx="4225471" cy="291033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480787</xdr:colOff>
      <xdr:row>32</xdr:row>
      <xdr:rowOff>63499</xdr:rowOff>
    </xdr:from>
    <xdr:to>
      <xdr:col>7</xdr:col>
      <xdr:colOff>32657</xdr:colOff>
      <xdr:row>32</xdr:row>
      <xdr:rowOff>354532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1D7AEBD2-33E7-46FD-9533-4EE00EE2FD0C}"/>
            </a:ext>
          </a:extLst>
        </xdr:cNvPr>
        <xdr:cNvSpPr/>
      </xdr:nvSpPr>
      <xdr:spPr>
        <a:xfrm>
          <a:off x="1826987" y="8608785"/>
          <a:ext cx="4468584" cy="291033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717550</xdr:colOff>
      <xdr:row>40</xdr:row>
      <xdr:rowOff>6350</xdr:rowOff>
    </xdr:from>
    <xdr:to>
      <xdr:col>6</xdr:col>
      <xdr:colOff>342900</xdr:colOff>
      <xdr:row>41</xdr:row>
      <xdr:rowOff>12700</xdr:rowOff>
    </xdr:to>
    <xdr:sp macro="" textlink="">
      <xdr:nvSpPr>
        <xdr:cNvPr id="51" name="テキスト ボックス 257">
          <a:extLst>
            <a:ext uri="{FF2B5EF4-FFF2-40B4-BE49-F238E27FC236}">
              <a16:creationId xmlns:a16="http://schemas.microsoft.com/office/drawing/2014/main" id="{78AFE2EC-497B-471B-B776-9FA8FE211F14}"/>
            </a:ext>
          </a:extLst>
        </xdr:cNvPr>
        <xdr:cNvSpPr txBox="1">
          <a:spLocks noChangeArrowheads="1"/>
        </xdr:cNvSpPr>
      </xdr:nvSpPr>
      <xdr:spPr bwMode="auto">
        <a:xfrm>
          <a:off x="2844800" y="10591800"/>
          <a:ext cx="2927350" cy="2349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毎年のFCFを直ちに利率8%／年で銀行預金する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213360</xdr:rowOff>
    </xdr:from>
    <xdr:to>
      <xdr:col>2</xdr:col>
      <xdr:colOff>495300</xdr:colOff>
      <xdr:row>14</xdr:row>
      <xdr:rowOff>137160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pSpPr/>
      </xdr:nvGrpSpPr>
      <xdr:grpSpPr>
        <a:xfrm>
          <a:off x="1208417" y="2844417"/>
          <a:ext cx="1322717" cy="820947"/>
          <a:chOff x="-27655" y="0"/>
          <a:chExt cx="838538" cy="250166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220980</xdr:rowOff>
    </xdr:from>
    <xdr:to>
      <xdr:col>1</xdr:col>
      <xdr:colOff>518161</xdr:colOff>
      <xdr:row>12</xdr:row>
      <xdr:rowOff>152400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pSpPr/>
      </xdr:nvGrpSpPr>
      <xdr:grpSpPr>
        <a:xfrm>
          <a:off x="1208418" y="2852037"/>
          <a:ext cx="327660" cy="379993"/>
          <a:chOff x="0" y="0"/>
          <a:chExt cx="810883" cy="250166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213360</xdr:rowOff>
    </xdr:from>
    <xdr:to>
      <xdr:col>3</xdr:col>
      <xdr:colOff>480061</xdr:colOff>
      <xdr:row>16</xdr:row>
      <xdr:rowOff>106680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pSpPr/>
      </xdr:nvGrpSpPr>
      <xdr:grpSpPr>
        <a:xfrm>
          <a:off x="1208418" y="2844417"/>
          <a:ext cx="2325394" cy="1239040"/>
          <a:chOff x="21916" y="19152"/>
          <a:chExt cx="788967" cy="231014"/>
        </a:xfrm>
      </xdr:grpSpPr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CxnSpPr/>
        </xdr:nvCxnSpPr>
        <xdr:spPr>
          <a:xfrm>
            <a:off x="810856" y="19152"/>
            <a:ext cx="0" cy="2309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CxnSpPr/>
        </xdr:nvCxnSpPr>
        <xdr:spPr>
          <a:xfrm flipH="1" flipV="1">
            <a:off x="21916" y="250145"/>
            <a:ext cx="788967" cy="2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190500</xdr:colOff>
      <xdr:row>10</xdr:row>
      <xdr:rowOff>205740</xdr:rowOff>
    </xdr:from>
    <xdr:to>
      <xdr:col>4</xdr:col>
      <xdr:colOff>533400</xdr:colOff>
      <xdr:row>18</xdr:row>
      <xdr:rowOff>144780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GrpSpPr/>
      </xdr:nvGrpSpPr>
      <xdr:grpSpPr>
        <a:xfrm>
          <a:off x="1208417" y="2836797"/>
          <a:ext cx="3396651" cy="1733334"/>
          <a:chOff x="-16726" y="0"/>
          <a:chExt cx="827609" cy="250166"/>
        </a:xfrm>
      </xdr:grpSpPr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CxnSpPr/>
        </xdr:nvCxnSpPr>
        <xdr:spPr>
          <a:xfrm flipH="1">
            <a:off x="-16726" y="250166"/>
            <a:ext cx="827609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190500</xdr:colOff>
      <xdr:row>10</xdr:row>
      <xdr:rowOff>213360</xdr:rowOff>
    </xdr:from>
    <xdr:to>
      <xdr:col>5</xdr:col>
      <xdr:colOff>472440</xdr:colOff>
      <xdr:row>20</xdr:row>
      <xdr:rowOff>106680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GrpSpPr/>
      </xdr:nvGrpSpPr>
      <xdr:grpSpPr>
        <a:xfrm>
          <a:off x="1208417" y="2844417"/>
          <a:ext cx="4353608" cy="2136188"/>
          <a:chOff x="0" y="-32037"/>
          <a:chExt cx="810883" cy="282203"/>
        </a:xfrm>
      </xdr:grpSpPr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30480</xdr:colOff>
      <xdr:row>10</xdr:row>
      <xdr:rowOff>22860</xdr:rowOff>
    </xdr:from>
    <xdr:to>
      <xdr:col>1</xdr:col>
      <xdr:colOff>60960</xdr:colOff>
      <xdr:row>24</xdr:row>
      <xdr:rowOff>0</xdr:rowOff>
    </xdr:to>
    <xdr:sp macro="" textlink="">
      <xdr:nvSpPr>
        <xdr:cNvPr id="43" name="角丸四角形 108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30480" y="1165860"/>
          <a:ext cx="1028700" cy="3177540"/>
        </a:xfrm>
        <a:prstGeom prst="roundRect">
          <a:avLst>
            <a:gd name="adj" fmla="val 1599"/>
          </a:avLst>
        </a:prstGeom>
        <a:noFill/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29</xdr:row>
      <xdr:rowOff>7620</xdr:rowOff>
    </xdr:from>
    <xdr:to>
      <xdr:col>6</xdr:col>
      <xdr:colOff>716280</xdr:colOff>
      <xdr:row>30</xdr:row>
      <xdr:rowOff>114935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2362192" y="7994666"/>
          <a:ext cx="4179455" cy="340735"/>
          <a:chOff x="0" y="-32037"/>
          <a:chExt cx="810883" cy="282203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635000</xdr:colOff>
      <xdr:row>6</xdr:row>
      <xdr:rowOff>0</xdr:rowOff>
    </xdr:from>
    <xdr:to>
      <xdr:col>2</xdr:col>
      <xdr:colOff>635000</xdr:colOff>
      <xdr:row>9</xdr:row>
      <xdr:rowOff>111156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8C3C2BED-66EC-430C-BB0D-69D06E16D129}"/>
            </a:ext>
          </a:extLst>
        </xdr:cNvPr>
        <xdr:cNvCxnSpPr/>
      </xdr:nvCxnSpPr>
      <xdr:spPr>
        <a:xfrm>
          <a:off x="2893391" y="2827078"/>
          <a:ext cx="0" cy="8897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655031</xdr:colOff>
      <xdr:row>6</xdr:row>
      <xdr:rowOff>0</xdr:rowOff>
    </xdr:from>
    <xdr:to>
      <xdr:col>5</xdr:col>
      <xdr:colOff>655031</xdr:colOff>
      <xdr:row>15</xdr:row>
      <xdr:rowOff>49966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417F205F-75CC-4FEA-9529-F863C78A2573}"/>
            </a:ext>
          </a:extLst>
        </xdr:cNvPr>
        <xdr:cNvCxnSpPr/>
      </xdr:nvCxnSpPr>
      <xdr:spPr>
        <a:xfrm>
          <a:off x="5497596" y="2766114"/>
          <a:ext cx="0" cy="22037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617957</xdr:colOff>
      <xdr:row>6</xdr:row>
      <xdr:rowOff>0</xdr:rowOff>
    </xdr:from>
    <xdr:to>
      <xdr:col>4</xdr:col>
      <xdr:colOff>617957</xdr:colOff>
      <xdr:row>13</xdr:row>
      <xdr:rowOff>97833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BAF4CAE0-7F0E-4DAC-882F-1D8E438BB7BD}"/>
            </a:ext>
          </a:extLst>
        </xdr:cNvPr>
        <xdr:cNvCxnSpPr/>
      </xdr:nvCxnSpPr>
      <xdr:spPr>
        <a:xfrm>
          <a:off x="4599131" y="2770560"/>
          <a:ext cx="0" cy="17667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688351</xdr:colOff>
      <xdr:row>6</xdr:row>
      <xdr:rowOff>4168</xdr:rowOff>
    </xdr:from>
    <xdr:to>
      <xdr:col>6</xdr:col>
      <xdr:colOff>688351</xdr:colOff>
      <xdr:row>17</xdr:row>
      <xdr:rowOff>57334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BFF4D7DF-60D8-46D4-AC54-5E9A8D90D774}"/>
            </a:ext>
          </a:extLst>
        </xdr:cNvPr>
        <xdr:cNvCxnSpPr/>
      </xdr:nvCxnSpPr>
      <xdr:spPr>
        <a:xfrm>
          <a:off x="6392308" y="2776081"/>
          <a:ext cx="0" cy="2681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628922</xdr:colOff>
      <xdr:row>6</xdr:row>
      <xdr:rowOff>6515</xdr:rowOff>
    </xdr:from>
    <xdr:to>
      <xdr:col>3</xdr:col>
      <xdr:colOff>628922</xdr:colOff>
      <xdr:row>11</xdr:row>
      <xdr:rowOff>107030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A0F3AFAF-47A1-484D-8982-ABE06BD00EB1}"/>
            </a:ext>
          </a:extLst>
        </xdr:cNvPr>
        <xdr:cNvCxnSpPr/>
      </xdr:nvCxnSpPr>
      <xdr:spPr>
        <a:xfrm>
          <a:off x="3748705" y="2778428"/>
          <a:ext cx="0" cy="12876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208642</xdr:colOff>
      <xdr:row>7</xdr:row>
      <xdr:rowOff>90714</xdr:rowOff>
    </xdr:from>
    <xdr:to>
      <xdr:col>6</xdr:col>
      <xdr:colOff>244927</xdr:colOff>
      <xdr:row>8</xdr:row>
      <xdr:rowOff>145142</xdr:rowOff>
    </xdr:to>
    <xdr:sp macro="" textlink="">
      <xdr:nvSpPr>
        <xdr:cNvPr id="32" name="テキスト ボックス 257">
          <a:extLst>
            <a:ext uri="{FF2B5EF4-FFF2-40B4-BE49-F238E27FC236}">
              <a16:creationId xmlns:a16="http://schemas.microsoft.com/office/drawing/2014/main" id="{DCC51F53-26CD-42C4-BBC1-DE18062F9672}"/>
            </a:ext>
          </a:extLst>
        </xdr:cNvPr>
        <xdr:cNvSpPr txBox="1">
          <a:spLocks noChangeArrowheads="1"/>
        </xdr:cNvSpPr>
      </xdr:nvSpPr>
      <xdr:spPr bwMode="auto">
        <a:xfrm>
          <a:off x="3329213" y="3093357"/>
          <a:ext cx="2621643" cy="281214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毎期の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FCF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8%/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年の利率で再投資する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213360</xdr:rowOff>
    </xdr:from>
    <xdr:to>
      <xdr:col>2</xdr:col>
      <xdr:colOff>495300</xdr:colOff>
      <xdr:row>14</xdr:row>
      <xdr:rowOff>137160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213346" y="3084724"/>
          <a:ext cx="1327647" cy="811089"/>
          <a:chOff x="-27655" y="0"/>
          <a:chExt cx="838538" cy="250166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CxnSpPr/>
        </xdr:nvCxnSpPr>
        <xdr:spPr>
          <a:xfrm flipH="1">
            <a:off x="-27655" y="250166"/>
            <a:ext cx="83853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220980</xdr:rowOff>
    </xdr:from>
    <xdr:to>
      <xdr:col>1</xdr:col>
      <xdr:colOff>518161</xdr:colOff>
      <xdr:row>12</xdr:row>
      <xdr:rowOff>152400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>
          <a:off x="1213347" y="3092344"/>
          <a:ext cx="327660" cy="375065"/>
          <a:chOff x="0" y="0"/>
          <a:chExt cx="810883" cy="250166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190501</xdr:colOff>
      <xdr:row>10</xdr:row>
      <xdr:rowOff>213360</xdr:rowOff>
    </xdr:from>
    <xdr:to>
      <xdr:col>3</xdr:col>
      <xdr:colOff>480061</xdr:colOff>
      <xdr:row>16</xdr:row>
      <xdr:rowOff>106680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213347" y="3084724"/>
          <a:ext cx="2335253" cy="1224253"/>
          <a:chOff x="21916" y="19152"/>
          <a:chExt cx="788967" cy="231014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CxnSpPr/>
        </xdr:nvCxnSpPr>
        <xdr:spPr>
          <a:xfrm>
            <a:off x="810856" y="19152"/>
            <a:ext cx="0" cy="2309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CxnSpPr/>
        </xdr:nvCxnSpPr>
        <xdr:spPr>
          <a:xfrm flipH="1" flipV="1">
            <a:off x="21916" y="250145"/>
            <a:ext cx="788967" cy="2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190500</xdr:colOff>
      <xdr:row>10</xdr:row>
      <xdr:rowOff>205740</xdr:rowOff>
    </xdr:from>
    <xdr:to>
      <xdr:col>4</xdr:col>
      <xdr:colOff>533400</xdr:colOff>
      <xdr:row>18</xdr:row>
      <xdr:rowOff>144780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1213346" y="3077104"/>
          <a:ext cx="3411440" cy="1713616"/>
          <a:chOff x="-16726" y="0"/>
          <a:chExt cx="827609" cy="250166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CxnSpPr/>
        </xdr:nvCxnSpPr>
        <xdr:spPr>
          <a:xfrm>
            <a:off x="810883" y="0"/>
            <a:ext cx="0" cy="25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CxnSpPr/>
        </xdr:nvCxnSpPr>
        <xdr:spPr>
          <a:xfrm flipH="1">
            <a:off x="-16726" y="250166"/>
            <a:ext cx="827609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190500</xdr:colOff>
      <xdr:row>10</xdr:row>
      <xdr:rowOff>213360</xdr:rowOff>
    </xdr:from>
    <xdr:to>
      <xdr:col>5</xdr:col>
      <xdr:colOff>472440</xdr:colOff>
      <xdr:row>20</xdr:row>
      <xdr:rowOff>106680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>
          <a:off x="1213346" y="3084724"/>
          <a:ext cx="4373325" cy="2111540"/>
          <a:chOff x="0" y="-32037"/>
          <a:chExt cx="810883" cy="282203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CxnSpPr/>
        </xdr:nvCxnSpPr>
        <xdr:spPr>
          <a:xfrm>
            <a:off x="810883" y="-32037"/>
            <a:ext cx="0" cy="2822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CxnSpPr/>
        </xdr:nvCxnSpPr>
        <xdr:spPr>
          <a:xfrm flipH="1">
            <a:off x="0" y="250166"/>
            <a:ext cx="810883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30480</xdr:colOff>
      <xdr:row>10</xdr:row>
      <xdr:rowOff>22860</xdr:rowOff>
    </xdr:from>
    <xdr:to>
      <xdr:col>1</xdr:col>
      <xdr:colOff>60960</xdr:colOff>
      <xdr:row>23</xdr:row>
      <xdr:rowOff>199572</xdr:rowOff>
    </xdr:to>
    <xdr:sp macro="" textlink="">
      <xdr:nvSpPr>
        <xdr:cNvPr id="17" name="角丸四角形 108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30480" y="3052717"/>
          <a:ext cx="1028337" cy="3124926"/>
        </a:xfrm>
        <a:prstGeom prst="roundRect">
          <a:avLst>
            <a:gd name="adj" fmla="val 1599"/>
          </a:avLst>
        </a:prstGeom>
        <a:noFill/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6640625" defaultRowHeight="17.7" x14ac:dyDescent="0.4"/>
  <cols>
    <col min="1" max="1" width="8.6640625" style="11" customWidth="1"/>
    <col min="2" max="16384" width="8.6640625" style="11"/>
  </cols>
  <sheetData>
    <row r="1" spans="1:10" ht="22.95" customHeight="1" x14ac:dyDescent="0.4">
      <c r="A1" s="71" t="s">
        <v>77</v>
      </c>
    </row>
    <row r="2" spans="1:10" s="86" customFormat="1" x14ac:dyDescent="0.4">
      <c r="A2" s="85" t="s">
        <v>80</v>
      </c>
      <c r="B2" s="85"/>
      <c r="C2" s="85" t="s">
        <v>81</v>
      </c>
      <c r="D2" s="85"/>
      <c r="E2" s="85" t="s">
        <v>82</v>
      </c>
      <c r="F2" s="85"/>
      <c r="G2" s="85" t="s">
        <v>83</v>
      </c>
      <c r="H2" s="85"/>
      <c r="I2" s="85" t="s">
        <v>84</v>
      </c>
      <c r="J2" s="85"/>
    </row>
    <row r="3" spans="1:10" s="73" customFormat="1" x14ac:dyDescent="0.4">
      <c r="A3" s="73" t="s">
        <v>78</v>
      </c>
      <c r="B3" s="73" t="s">
        <v>79</v>
      </c>
      <c r="C3" s="73" t="s">
        <v>78</v>
      </c>
      <c r="D3" s="73" t="s">
        <v>79</v>
      </c>
      <c r="E3" s="73" t="s">
        <v>78</v>
      </c>
      <c r="F3" s="73" t="s">
        <v>79</v>
      </c>
      <c r="G3" s="73" t="s">
        <v>78</v>
      </c>
      <c r="H3" s="73" t="s">
        <v>79</v>
      </c>
      <c r="I3" s="73" t="s">
        <v>78</v>
      </c>
      <c r="J3" s="73" t="s">
        <v>79</v>
      </c>
    </row>
    <row r="4" spans="1:10" x14ac:dyDescent="0.4">
      <c r="A4" s="13">
        <v>100</v>
      </c>
      <c r="B4" s="13">
        <f>A4*1.3</f>
        <v>130</v>
      </c>
      <c r="C4" s="13">
        <f>B4</f>
        <v>130</v>
      </c>
      <c r="D4" s="13">
        <f>C4*1.3</f>
        <v>169</v>
      </c>
      <c r="E4" s="13">
        <f>D4</f>
        <v>169</v>
      </c>
      <c r="F4" s="13">
        <f>E4*1.3</f>
        <v>219.70000000000002</v>
      </c>
      <c r="G4" s="13">
        <f>F4</f>
        <v>219.70000000000002</v>
      </c>
      <c r="H4" s="13">
        <f>G4*1.3</f>
        <v>285.61</v>
      </c>
      <c r="I4" s="13">
        <f>H4</f>
        <v>285.61</v>
      </c>
      <c r="J4" s="13">
        <f>I4*1.3</f>
        <v>371.29300000000001</v>
      </c>
    </row>
    <row r="6" spans="1:10" ht="18.350000000000001" thickBot="1" x14ac:dyDescent="0.45"/>
    <row r="7" spans="1:10" ht="18.350000000000001" thickBot="1" x14ac:dyDescent="0.45">
      <c r="A7" s="172" t="s">
        <v>168</v>
      </c>
      <c r="B7" s="172"/>
      <c r="C7" s="172"/>
      <c r="D7" s="172"/>
      <c r="E7" s="172"/>
      <c r="F7" s="172"/>
      <c r="G7" s="172"/>
      <c r="H7" s="172"/>
      <c r="I7" s="172"/>
      <c r="J7" s="172"/>
    </row>
    <row r="8" spans="1:10" ht="19.899999999999999" customHeight="1" x14ac:dyDescent="0.4">
      <c r="A8" s="173" t="s">
        <v>80</v>
      </c>
      <c r="B8" s="173"/>
      <c r="C8" s="173" t="s">
        <v>81</v>
      </c>
      <c r="D8" s="173"/>
      <c r="E8" s="173" t="s">
        <v>82</v>
      </c>
      <c r="F8" s="173"/>
      <c r="G8" s="173" t="s">
        <v>83</v>
      </c>
      <c r="H8" s="173"/>
      <c r="I8" s="173" t="s">
        <v>84</v>
      </c>
      <c r="J8" s="173"/>
    </row>
    <row r="9" spans="1:10" x14ac:dyDescent="0.4">
      <c r="A9" s="87" t="s">
        <v>78</v>
      </c>
      <c r="B9" s="87" t="s">
        <v>79</v>
      </c>
      <c r="C9" s="87" t="s">
        <v>78</v>
      </c>
      <c r="D9" s="87" t="s">
        <v>79</v>
      </c>
      <c r="E9" s="87" t="s">
        <v>78</v>
      </c>
      <c r="F9" s="87" t="s">
        <v>79</v>
      </c>
      <c r="G9" s="87" t="s">
        <v>78</v>
      </c>
      <c r="H9" s="87" t="s">
        <v>79</v>
      </c>
      <c r="I9" s="87" t="s">
        <v>78</v>
      </c>
      <c r="J9" s="87" t="s">
        <v>79</v>
      </c>
    </row>
    <row r="10" spans="1:10" x14ac:dyDescent="0.4">
      <c r="A10" s="87">
        <v>100</v>
      </c>
      <c r="B10" s="87">
        <v>130</v>
      </c>
      <c r="C10" s="87">
        <v>100</v>
      </c>
      <c r="D10" s="87">
        <v>130</v>
      </c>
      <c r="E10" s="87">
        <v>100</v>
      </c>
      <c r="F10" s="87">
        <v>130</v>
      </c>
      <c r="G10" s="87">
        <v>100</v>
      </c>
      <c r="H10" s="87">
        <v>130</v>
      </c>
      <c r="I10" s="87">
        <v>100</v>
      </c>
      <c r="J10" s="87">
        <v>130</v>
      </c>
    </row>
    <row r="11" spans="1:10" x14ac:dyDescent="0.4">
      <c r="A11" s="87"/>
      <c r="B11" s="87"/>
      <c r="C11" s="87"/>
      <c r="D11" s="87"/>
      <c r="E11" s="88"/>
      <c r="F11" s="88"/>
      <c r="G11" s="88"/>
      <c r="H11" s="88"/>
      <c r="I11" s="88"/>
      <c r="J11" s="87"/>
    </row>
    <row r="12" spans="1:10" x14ac:dyDescent="0.4">
      <c r="A12" s="87"/>
      <c r="B12" s="87"/>
      <c r="C12" s="87"/>
      <c r="D12" s="88"/>
      <c r="E12" s="87"/>
      <c r="F12" s="87"/>
      <c r="G12" s="87"/>
      <c r="H12" s="87"/>
      <c r="I12" s="87">
        <v>30</v>
      </c>
      <c r="J12" s="87">
        <v>39</v>
      </c>
    </row>
    <row r="13" spans="1:10" x14ac:dyDescent="0.4">
      <c r="A13" s="87"/>
      <c r="B13" s="87"/>
      <c r="C13" s="88"/>
      <c r="D13" s="87"/>
      <c r="E13" s="87"/>
      <c r="F13" s="87"/>
      <c r="G13" s="87">
        <v>30</v>
      </c>
      <c r="H13" s="87">
        <v>39</v>
      </c>
      <c r="I13" s="87">
        <v>39</v>
      </c>
      <c r="J13" s="87">
        <v>50.7</v>
      </c>
    </row>
    <row r="14" spans="1:10" x14ac:dyDescent="0.4">
      <c r="A14" s="87"/>
      <c r="B14" s="87"/>
      <c r="C14" s="87"/>
      <c r="D14" s="87"/>
      <c r="E14" s="87">
        <v>30</v>
      </c>
      <c r="F14" s="87">
        <v>39</v>
      </c>
      <c r="G14" s="87">
        <v>39</v>
      </c>
      <c r="H14" s="87">
        <v>50.7</v>
      </c>
      <c r="I14" s="87">
        <v>50.7</v>
      </c>
      <c r="J14" s="87">
        <v>65.900000000000006</v>
      </c>
    </row>
    <row r="15" spans="1:10" x14ac:dyDescent="0.4">
      <c r="A15" s="87"/>
      <c r="B15" s="87"/>
      <c r="C15" s="87">
        <v>30</v>
      </c>
      <c r="D15" s="87">
        <v>39</v>
      </c>
      <c r="E15" s="87">
        <v>39</v>
      </c>
      <c r="F15" s="87">
        <v>50.7</v>
      </c>
      <c r="G15" s="87">
        <v>50.7</v>
      </c>
      <c r="H15" s="87">
        <v>65.900000000000006</v>
      </c>
      <c r="I15" s="87">
        <v>65.900000000000006</v>
      </c>
      <c r="J15" s="87">
        <v>85.7</v>
      </c>
    </row>
    <row r="16" spans="1:10" ht="22.25" customHeight="1" thickBot="1" x14ac:dyDescent="0.45">
      <c r="A16" s="89" t="s">
        <v>169</v>
      </c>
      <c r="B16" s="89">
        <f>SUM(B10:B15)</f>
        <v>130</v>
      </c>
      <c r="C16" s="89"/>
      <c r="D16" s="89">
        <f>SUM(D10:D15)</f>
        <v>169</v>
      </c>
      <c r="E16" s="89"/>
      <c r="F16" s="89">
        <f>SUM(F10:F15)</f>
        <v>219.7</v>
      </c>
      <c r="G16" s="89"/>
      <c r="H16" s="89">
        <f>SUM(H10:H15)</f>
        <v>285.60000000000002</v>
      </c>
      <c r="I16" s="89"/>
      <c r="J16" s="89">
        <f>SUM(J10:J15)</f>
        <v>371.3</v>
      </c>
    </row>
  </sheetData>
  <mergeCells count="6">
    <mergeCell ref="A7:J7"/>
    <mergeCell ref="A8:B8"/>
    <mergeCell ref="C8:D8"/>
    <mergeCell ref="E8:F8"/>
    <mergeCell ref="G8:H8"/>
    <mergeCell ref="I8:J8"/>
  </mergeCells>
  <phoneticPr fontId="1"/>
  <pageMargins left="0.7" right="0.7" top="0.75" bottom="0.75" header="0.3" footer="0.3"/>
  <pageSetup paperSize="9" orientation="portrait" horizontalDpi="4294967293" verticalDpi="0" r:id="rId1"/>
  <ignoredErrors>
    <ignoredError sqref="C4:D4 F4 H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topLeftCell="A10" zoomScaleNormal="100" workbookViewId="0">
      <selection activeCell="I13" sqref="I13"/>
    </sheetView>
  </sheetViews>
  <sheetFormatPr defaultRowHeight="17.7" x14ac:dyDescent="0.4"/>
  <cols>
    <col min="1" max="1" width="18.6640625" customWidth="1"/>
    <col min="3" max="7" width="12.109375" customWidth="1"/>
  </cols>
  <sheetData>
    <row r="1" spans="1:7" x14ac:dyDescent="0.4">
      <c r="A1" s="71" t="s">
        <v>121</v>
      </c>
    </row>
    <row r="2" spans="1:7" ht="90" customHeight="1" x14ac:dyDescent="0.4">
      <c r="A2" s="174" t="s">
        <v>238</v>
      </c>
      <c r="B2" s="174"/>
      <c r="C2" s="174"/>
      <c r="D2" s="174"/>
      <c r="E2" s="174"/>
      <c r="F2" s="174"/>
      <c r="G2" s="174"/>
    </row>
    <row r="4" spans="1:7" ht="19.05" x14ac:dyDescent="0.4">
      <c r="A4" s="67" t="s">
        <v>125</v>
      </c>
    </row>
    <row r="5" spans="1:7" ht="19.05" x14ac:dyDescent="0.4">
      <c r="A5" s="76"/>
      <c r="B5" s="167" t="s">
        <v>106</v>
      </c>
      <c r="C5" s="168" t="s">
        <v>107</v>
      </c>
      <c r="D5" s="168" t="s">
        <v>108</v>
      </c>
      <c r="E5" s="168" t="s">
        <v>109</v>
      </c>
      <c r="F5" s="168" t="s">
        <v>110</v>
      </c>
      <c r="G5" s="168" t="s">
        <v>111</v>
      </c>
    </row>
    <row r="6" spans="1:7" x14ac:dyDescent="0.4">
      <c r="A6" s="11" t="s">
        <v>105</v>
      </c>
      <c r="B6" s="11">
        <v>-10000</v>
      </c>
      <c r="C6" s="166">
        <v>2700</v>
      </c>
      <c r="D6" s="166">
        <v>2300</v>
      </c>
      <c r="E6" s="166">
        <v>2800</v>
      </c>
      <c r="F6" s="166">
        <v>2200</v>
      </c>
      <c r="G6" s="166">
        <v>2500</v>
      </c>
    </row>
    <row r="8" spans="1:7" x14ac:dyDescent="0.4">
      <c r="A8" t="s">
        <v>6</v>
      </c>
    </row>
    <row r="9" spans="1:7" ht="19.05" x14ac:dyDescent="0.4">
      <c r="A9" t="s">
        <v>112</v>
      </c>
      <c r="B9">
        <v>0</v>
      </c>
    </row>
    <row r="10" spans="1:7" x14ac:dyDescent="0.4">
      <c r="A10" s="65">
        <f>B9</f>
        <v>0</v>
      </c>
    </row>
    <row r="11" spans="1:7" ht="19.05" x14ac:dyDescent="0.4">
      <c r="A11" t="s">
        <v>113</v>
      </c>
      <c r="B11">
        <v>0</v>
      </c>
      <c r="C11" s="3">
        <f>C6</f>
        <v>2700</v>
      </c>
      <c r="D11" s="3"/>
      <c r="E11" s="3"/>
      <c r="F11" s="3"/>
      <c r="G11" s="3"/>
    </row>
    <row r="12" spans="1:7" x14ac:dyDescent="0.4">
      <c r="A12" s="66">
        <f>C11+D11+E11+F11+G11</f>
        <v>2700</v>
      </c>
      <c r="C12" s="3"/>
      <c r="D12" s="3"/>
      <c r="E12" s="3"/>
      <c r="F12" s="3"/>
      <c r="G12" s="3"/>
    </row>
    <row r="13" spans="1:7" ht="19.05" x14ac:dyDescent="0.4">
      <c r="A13" t="s">
        <v>114</v>
      </c>
      <c r="B13">
        <v>0</v>
      </c>
      <c r="C13" s="3">
        <f>C11*1.08</f>
        <v>2916</v>
      </c>
      <c r="D13" s="3">
        <f>D6</f>
        <v>2300</v>
      </c>
      <c r="E13" s="3"/>
      <c r="F13" s="3"/>
      <c r="G13" s="3"/>
    </row>
    <row r="14" spans="1:7" x14ac:dyDescent="0.4">
      <c r="A14" s="66">
        <f>C13+D13+E13+F13+G13</f>
        <v>5216</v>
      </c>
      <c r="C14" s="3"/>
      <c r="D14" s="3"/>
      <c r="E14" s="3"/>
      <c r="F14" s="3"/>
      <c r="G14" s="3"/>
    </row>
    <row r="15" spans="1:7" ht="19.05" x14ac:dyDescent="0.4">
      <c r="A15" t="s">
        <v>115</v>
      </c>
      <c r="B15">
        <v>0</v>
      </c>
      <c r="C15" s="3">
        <f>C13*1.08</f>
        <v>3149.28</v>
      </c>
      <c r="D15" s="3">
        <f>D13*1.08</f>
        <v>2484</v>
      </c>
      <c r="E15" s="3">
        <f>E6</f>
        <v>2800</v>
      </c>
      <c r="F15" s="3"/>
      <c r="G15" s="3"/>
    </row>
    <row r="16" spans="1:7" x14ac:dyDescent="0.4">
      <c r="A16" s="66">
        <f>C15+D15+E15+F15+G15</f>
        <v>8433.2800000000007</v>
      </c>
      <c r="C16" s="3"/>
      <c r="D16" s="3"/>
      <c r="E16" s="3"/>
      <c r="F16" s="3"/>
      <c r="G16" s="3"/>
    </row>
    <row r="17" spans="1:10" ht="19.05" x14ac:dyDescent="0.4">
      <c r="A17" t="s">
        <v>116</v>
      </c>
      <c r="B17">
        <v>0</v>
      </c>
      <c r="C17" s="3">
        <f>C15*1.08</f>
        <v>3401.2224000000006</v>
      </c>
      <c r="D17" s="3">
        <f>D15*1.08</f>
        <v>2682.7200000000003</v>
      </c>
      <c r="E17" s="3">
        <f>E15*1.08</f>
        <v>3024</v>
      </c>
      <c r="F17" s="3">
        <f>F6</f>
        <v>2200</v>
      </c>
      <c r="G17" s="3"/>
    </row>
    <row r="18" spans="1:10" x14ac:dyDescent="0.4">
      <c r="A18" s="66">
        <f>C17+D17+E17+F17+G17</f>
        <v>11307.9424</v>
      </c>
      <c r="C18" s="3"/>
      <c r="D18" s="3"/>
      <c r="E18" s="3"/>
      <c r="F18" s="3"/>
      <c r="G18" s="3"/>
    </row>
    <row r="19" spans="1:10" ht="19.05" x14ac:dyDescent="0.4">
      <c r="A19" t="s">
        <v>117</v>
      </c>
      <c r="B19">
        <v>0</v>
      </c>
      <c r="C19" s="3">
        <f t="shared" ref="C19:F19" si="0">C17*1.08</f>
        <v>3673.320192000001</v>
      </c>
      <c r="D19" s="3">
        <f>D17*1.08</f>
        <v>2897.3376000000003</v>
      </c>
      <c r="E19" s="3">
        <f t="shared" si="0"/>
        <v>3265.92</v>
      </c>
      <c r="F19" s="3">
        <f t="shared" si="0"/>
        <v>2376</v>
      </c>
      <c r="G19" s="3">
        <f>G6</f>
        <v>2500</v>
      </c>
    </row>
    <row r="20" spans="1:10" x14ac:dyDescent="0.4">
      <c r="A20" s="66">
        <f>C19+D19+E19+F19+G19</f>
        <v>14712.577792000002</v>
      </c>
      <c r="C20" s="3"/>
      <c r="D20" s="3"/>
      <c r="E20" s="3"/>
      <c r="F20" s="3"/>
      <c r="G20" s="3"/>
    </row>
    <row r="21" spans="1:10" ht="34" x14ac:dyDescent="0.4">
      <c r="A21" s="22" t="s">
        <v>27</v>
      </c>
      <c r="B21" s="17">
        <v>0</v>
      </c>
      <c r="C21" s="23">
        <f>C19</f>
        <v>3673.320192000001</v>
      </c>
      <c r="D21" s="23">
        <f>C21+D19</f>
        <v>6570.6577920000018</v>
      </c>
      <c r="E21" s="23">
        <f t="shared" ref="E21:F21" si="1">D21+E19</f>
        <v>9836.5777920000019</v>
      </c>
      <c r="F21" s="23">
        <f t="shared" si="1"/>
        <v>12212.577792000002</v>
      </c>
      <c r="G21" s="24">
        <f>F21+G19</f>
        <v>14712.577792000002</v>
      </c>
    </row>
    <row r="22" spans="1:10" ht="19.05" x14ac:dyDescent="0.4">
      <c r="A22" t="s">
        <v>118</v>
      </c>
    </row>
    <row r="24" spans="1:10" x14ac:dyDescent="0.4">
      <c r="J24" s="77"/>
    </row>
    <row r="25" spans="1:10" ht="19.05" x14ac:dyDescent="0.4">
      <c r="A25" s="179" t="s">
        <v>119</v>
      </c>
      <c r="B25" s="179"/>
      <c r="C25" s="179"/>
      <c r="D25" s="179"/>
      <c r="E25" s="179"/>
      <c r="F25" s="179"/>
      <c r="G25" s="179"/>
    </row>
    <row r="26" spans="1:10" ht="19.05" x14ac:dyDescent="0.4">
      <c r="A26" s="16"/>
      <c r="B26" s="74" t="s">
        <v>106</v>
      </c>
      <c r="C26" s="26" t="s">
        <v>107</v>
      </c>
      <c r="D26" s="26" t="s">
        <v>108</v>
      </c>
      <c r="E26" s="26" t="s">
        <v>109</v>
      </c>
      <c r="F26" s="26" t="s">
        <v>110</v>
      </c>
      <c r="G26" s="26" t="s">
        <v>111</v>
      </c>
    </row>
    <row r="27" spans="1:10" x14ac:dyDescent="0.4">
      <c r="A27" t="s">
        <v>126</v>
      </c>
      <c r="B27" s="3">
        <v>0</v>
      </c>
      <c r="C27" s="3">
        <f>C11</f>
        <v>2700</v>
      </c>
      <c r="D27" s="3">
        <f>D13+C13</f>
        <v>5216</v>
      </c>
      <c r="E27" s="3">
        <f>C15+D15+E15</f>
        <v>8433.2800000000007</v>
      </c>
      <c r="F27" s="3">
        <f>C17+D17+E17+F17</f>
        <v>11307.9424</v>
      </c>
      <c r="G27" s="65">
        <f>C19+D19+E19+F19+G19</f>
        <v>14712.577792000002</v>
      </c>
    </row>
    <row r="28" spans="1:10" x14ac:dyDescent="0.4">
      <c r="A28" t="s">
        <v>22</v>
      </c>
      <c r="B28" s="3">
        <v>10000</v>
      </c>
      <c r="C28" s="3">
        <f>B28*1.08</f>
        <v>10800</v>
      </c>
      <c r="D28" s="3">
        <f>C28*1.08</f>
        <v>11664</v>
      </c>
      <c r="E28" s="3">
        <f>D28*1.08</f>
        <v>12597.12</v>
      </c>
      <c r="F28" s="3">
        <f>E28*1.08</f>
        <v>13604.889600000002</v>
      </c>
      <c r="G28" s="65">
        <f>F28*1.08</f>
        <v>14693.280768000004</v>
      </c>
    </row>
    <row r="29" spans="1:10" ht="18.350000000000001" thickBot="1" x14ac:dyDescent="0.45">
      <c r="A29" t="s">
        <v>20</v>
      </c>
      <c r="G29" s="7">
        <f>G27-G28</f>
        <v>19.297023999997691</v>
      </c>
    </row>
    <row r="30" spans="1:10" ht="18.350000000000001" thickTop="1" x14ac:dyDescent="0.4"/>
    <row r="31" spans="1:10" x14ac:dyDescent="0.4">
      <c r="A31" t="s">
        <v>21</v>
      </c>
      <c r="B31" s="3">
        <f>G29/(1.08^5)</f>
        <v>13.13323028715549</v>
      </c>
    </row>
    <row r="32" spans="1:10" x14ac:dyDescent="0.4">
      <c r="A32" s="10"/>
      <c r="B32" s="10" t="s">
        <v>26</v>
      </c>
      <c r="C32" s="10"/>
      <c r="D32" s="10"/>
      <c r="E32" s="10"/>
      <c r="F32" s="10"/>
      <c r="G32" s="10"/>
    </row>
    <row r="34" spans="1:7" x14ac:dyDescent="0.4">
      <c r="A34" s="71" t="s">
        <v>96</v>
      </c>
      <c r="B34" s="71"/>
      <c r="C34" s="71"/>
      <c r="D34" s="71"/>
      <c r="E34" s="71"/>
      <c r="F34" s="71"/>
      <c r="G34" s="71"/>
    </row>
    <row r="35" spans="1:7" ht="73.55" customHeight="1" x14ac:dyDescent="0.4">
      <c r="A35" s="174" t="s">
        <v>127</v>
      </c>
      <c r="B35" s="174"/>
      <c r="C35" s="174"/>
      <c r="D35" s="174"/>
      <c r="E35" s="174"/>
      <c r="F35" s="174"/>
      <c r="G35" s="174"/>
    </row>
    <row r="36" spans="1:7" x14ac:dyDescent="0.4">
      <c r="A36" s="75"/>
    </row>
  </sheetData>
  <mergeCells count="3">
    <mergeCell ref="A2:G2"/>
    <mergeCell ref="A25:G25"/>
    <mergeCell ref="A35:G3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9"/>
  <sheetViews>
    <sheetView topLeftCell="A7" zoomScale="85" zoomScaleNormal="85" workbookViewId="0">
      <selection activeCell="M19" sqref="M19"/>
    </sheetView>
  </sheetViews>
  <sheetFormatPr defaultColWidth="8.6640625" defaultRowHeight="17.7" x14ac:dyDescent="0.4"/>
  <cols>
    <col min="1" max="8" width="8.6640625" style="91"/>
    <col min="9" max="9" width="15.109375" style="91" bestFit="1" customWidth="1"/>
    <col min="10" max="16384" width="8.6640625" style="91"/>
  </cols>
  <sheetData>
    <row r="1" spans="1:10" x14ac:dyDescent="0.4">
      <c r="A1" s="90" t="s">
        <v>138</v>
      </c>
    </row>
    <row r="2" spans="1:10" x14ac:dyDescent="0.4">
      <c r="A2" s="90"/>
    </row>
    <row r="3" spans="1:10" ht="39.1" customHeight="1" x14ac:dyDescent="0.4">
      <c r="A3" s="180" t="s">
        <v>303</v>
      </c>
      <c r="B3" s="180"/>
      <c r="C3" s="180"/>
      <c r="D3" s="180"/>
      <c r="E3" s="180"/>
      <c r="F3" s="180"/>
      <c r="G3" s="180"/>
      <c r="H3" s="180"/>
      <c r="I3" s="180"/>
      <c r="J3" s="180"/>
    </row>
    <row r="5" spans="1:10" x14ac:dyDescent="0.4">
      <c r="A5" s="181" t="s">
        <v>41</v>
      </c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9.05" x14ac:dyDescent="0.4">
      <c r="A6" s="92" t="s">
        <v>170</v>
      </c>
      <c r="B6" s="92" t="s">
        <v>171</v>
      </c>
      <c r="C6" s="92" t="s">
        <v>172</v>
      </c>
      <c r="D6" s="92" t="s">
        <v>173</v>
      </c>
      <c r="E6" s="92" t="s">
        <v>174</v>
      </c>
      <c r="F6" s="92" t="s">
        <v>175</v>
      </c>
      <c r="G6" s="92" t="s">
        <v>176</v>
      </c>
      <c r="H6" s="92" t="s">
        <v>177</v>
      </c>
      <c r="I6" s="92" t="s">
        <v>40</v>
      </c>
      <c r="J6" s="92" t="s">
        <v>178</v>
      </c>
    </row>
    <row r="7" spans="1:10" ht="19.05" x14ac:dyDescent="0.4">
      <c r="A7" s="94">
        <v>-10000</v>
      </c>
      <c r="B7" s="94">
        <v>2500</v>
      </c>
      <c r="C7" s="94">
        <v>3500</v>
      </c>
      <c r="D7" s="94">
        <v>4500</v>
      </c>
      <c r="E7" s="94">
        <v>3500</v>
      </c>
      <c r="F7" s="94">
        <v>2500</v>
      </c>
      <c r="G7" s="94">
        <v>2000</v>
      </c>
      <c r="H7" s="94">
        <v>1500</v>
      </c>
      <c r="I7" s="94" t="s">
        <v>179</v>
      </c>
      <c r="J7" s="94">
        <v>1500</v>
      </c>
    </row>
    <row r="9" spans="1:10" x14ac:dyDescent="0.4">
      <c r="A9" s="91" t="s">
        <v>42</v>
      </c>
    </row>
    <row r="10" spans="1:10" ht="19.05" x14ac:dyDescent="0.4">
      <c r="A10" s="92" t="s">
        <v>170</v>
      </c>
      <c r="B10" s="92" t="s">
        <v>171</v>
      </c>
      <c r="C10" s="92" t="s">
        <v>172</v>
      </c>
      <c r="D10" s="92" t="s">
        <v>173</v>
      </c>
      <c r="E10" s="92" t="s">
        <v>174</v>
      </c>
      <c r="F10" s="92" t="s">
        <v>175</v>
      </c>
      <c r="G10" s="92" t="s">
        <v>176</v>
      </c>
      <c r="H10" s="92" t="s">
        <v>177</v>
      </c>
      <c r="I10" s="92" t="s">
        <v>40</v>
      </c>
      <c r="J10" s="92" t="s">
        <v>178</v>
      </c>
    </row>
    <row r="11" spans="1:10" ht="19.05" x14ac:dyDescent="0.4">
      <c r="A11" s="91">
        <v>-10000</v>
      </c>
      <c r="B11" s="139">
        <v>2500</v>
      </c>
      <c r="C11" s="139">
        <v>3500</v>
      </c>
      <c r="D11" s="139">
        <v>4500</v>
      </c>
      <c r="E11" s="139">
        <v>3500</v>
      </c>
      <c r="F11" s="139">
        <v>2500</v>
      </c>
      <c r="G11" s="139">
        <v>2000</v>
      </c>
      <c r="H11" s="139">
        <v>1500</v>
      </c>
      <c r="I11" s="94" t="s">
        <v>179</v>
      </c>
      <c r="J11" s="139">
        <v>1500</v>
      </c>
    </row>
    <row r="13" spans="1:10" x14ac:dyDescent="0.4">
      <c r="A13" s="95">
        <f>B11/1.1</f>
        <v>2272.7272727272725</v>
      </c>
      <c r="I13" s="91" t="s">
        <v>43</v>
      </c>
    </row>
    <row r="14" spans="1:10" x14ac:dyDescent="0.4">
      <c r="I14" s="91" t="s">
        <v>44</v>
      </c>
    </row>
    <row r="15" spans="1:10" x14ac:dyDescent="0.4">
      <c r="A15" s="95">
        <f>C11/(1.1^2)</f>
        <v>2892.5619834710737</v>
      </c>
    </row>
    <row r="17" spans="1:10" x14ac:dyDescent="0.4">
      <c r="A17" s="95">
        <f>D11/(1.1^3)</f>
        <v>3380.916604057099</v>
      </c>
    </row>
    <row r="19" spans="1:10" x14ac:dyDescent="0.4">
      <c r="A19" s="95">
        <f>E11/(1.1^4)</f>
        <v>2390.5470937777468</v>
      </c>
    </row>
    <row r="21" spans="1:10" x14ac:dyDescent="0.4">
      <c r="A21" s="95">
        <f>F11/(1.1^5)</f>
        <v>1552.3033076478873</v>
      </c>
    </row>
    <row r="22" spans="1:10" x14ac:dyDescent="0.4">
      <c r="A22" s="95"/>
    </row>
    <row r="23" spans="1:10" x14ac:dyDescent="0.4">
      <c r="A23" s="95">
        <f>G11/(1.1^6)</f>
        <v>1128.9478601075543</v>
      </c>
    </row>
    <row r="24" spans="1:10" x14ac:dyDescent="0.4">
      <c r="A24" s="95"/>
    </row>
    <row r="26" spans="1:10" x14ac:dyDescent="0.4">
      <c r="A26" s="95">
        <f>15000/(1.1^6)</f>
        <v>8467.108950806658</v>
      </c>
    </row>
    <row r="28" spans="1:10" x14ac:dyDescent="0.4">
      <c r="A28" s="91" t="s">
        <v>19</v>
      </c>
    </row>
    <row r="29" spans="1:10" x14ac:dyDescent="0.4">
      <c r="A29" s="96">
        <f>A11+A13+A15+A17+A19+A21+A23+A26</f>
        <v>12085.113072595292</v>
      </c>
      <c r="B29" s="97" t="s">
        <v>48</v>
      </c>
      <c r="C29" s="93"/>
      <c r="D29" s="93"/>
      <c r="E29" s="93"/>
      <c r="F29" s="93"/>
      <c r="G29" s="93"/>
      <c r="H29" s="93"/>
      <c r="I29" s="93"/>
      <c r="J29" s="93"/>
    </row>
  </sheetData>
  <mergeCells count="2">
    <mergeCell ref="A3:J3"/>
    <mergeCell ref="A5:J5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topLeftCell="A13" zoomScale="115" zoomScaleNormal="115" workbookViewId="0">
      <selection activeCell="G25" sqref="G25"/>
    </sheetView>
  </sheetViews>
  <sheetFormatPr defaultRowHeight="17.7" x14ac:dyDescent="0.4"/>
  <cols>
    <col min="7" max="7" width="8.44140625" customWidth="1"/>
    <col min="9" max="9" width="15.109375" bestFit="1" customWidth="1"/>
  </cols>
  <sheetData>
    <row r="1" spans="1:10" x14ac:dyDescent="0.4">
      <c r="A1" s="71" t="s">
        <v>137</v>
      </c>
    </row>
    <row r="2" spans="1:10" x14ac:dyDescent="0.4">
      <c r="A2" s="71"/>
    </row>
    <row r="3" spans="1:10" x14ac:dyDescent="0.4">
      <c r="A3" s="182" t="s">
        <v>304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4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4">
      <c r="A5" s="71"/>
    </row>
    <row r="6" spans="1:10" x14ac:dyDescent="0.4">
      <c r="A6" s="177" t="s">
        <v>41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9.05" x14ac:dyDescent="0.4">
      <c r="A7" s="74" t="s">
        <v>106</v>
      </c>
      <c r="B7" s="26" t="s">
        <v>107</v>
      </c>
      <c r="C7" s="26" t="s">
        <v>108</v>
      </c>
      <c r="D7" s="26" t="s">
        <v>109</v>
      </c>
      <c r="E7" s="26" t="s">
        <v>110</v>
      </c>
      <c r="F7" s="26" t="s">
        <v>111</v>
      </c>
      <c r="G7" s="26" t="s">
        <v>133</v>
      </c>
      <c r="H7" s="26" t="s">
        <v>134</v>
      </c>
      <c r="I7" s="26" t="s">
        <v>40</v>
      </c>
      <c r="J7" s="26" t="s">
        <v>136</v>
      </c>
    </row>
    <row r="8" spans="1:10" ht="19.05" x14ac:dyDescent="0.4">
      <c r="A8" s="21">
        <v>-20000</v>
      </c>
      <c r="B8" s="21">
        <v>2500</v>
      </c>
      <c r="C8" s="21">
        <v>2500</v>
      </c>
      <c r="D8" s="21">
        <v>2500</v>
      </c>
      <c r="E8" s="21">
        <v>2500</v>
      </c>
      <c r="F8" s="21">
        <v>2500</v>
      </c>
      <c r="G8" s="21">
        <v>2500</v>
      </c>
      <c r="H8" s="21">
        <v>1500</v>
      </c>
      <c r="I8" s="21" t="s">
        <v>135</v>
      </c>
      <c r="J8" s="21">
        <v>1500</v>
      </c>
    </row>
    <row r="10" spans="1:10" ht="19.05" x14ac:dyDescent="0.4">
      <c r="A10" t="s">
        <v>141</v>
      </c>
    </row>
    <row r="12" spans="1:10" ht="19.05" x14ac:dyDescent="0.4">
      <c r="A12" t="s">
        <v>139</v>
      </c>
      <c r="G12" s="82">
        <f>(1500/0.1)</f>
        <v>15000</v>
      </c>
    </row>
    <row r="13" spans="1:10" ht="19.05" x14ac:dyDescent="0.4">
      <c r="A13" t="s">
        <v>301</v>
      </c>
      <c r="G13" s="82">
        <f>(1500/0.1)*(1/1.1^6)</f>
        <v>8467.108950806658</v>
      </c>
    </row>
    <row r="15" spans="1:10" ht="19.05" x14ac:dyDescent="0.4">
      <c r="A15" t="s">
        <v>140</v>
      </c>
    </row>
    <row r="17" spans="1:7" ht="19.05" x14ac:dyDescent="0.4">
      <c r="A17" t="s">
        <v>142</v>
      </c>
    </row>
    <row r="18" spans="1:7" ht="19.05" x14ac:dyDescent="0.4">
      <c r="A18" t="s">
        <v>239</v>
      </c>
      <c r="G18" s="83">
        <f>(2500/0.1)</f>
        <v>25000</v>
      </c>
    </row>
    <row r="19" spans="1:7" ht="19.05" x14ac:dyDescent="0.4">
      <c r="A19" t="s">
        <v>143</v>
      </c>
      <c r="G19" s="83">
        <f>(2500/0.1)*(1/1.1^6)</f>
        <v>14111.848251344431</v>
      </c>
    </row>
    <row r="20" spans="1:7" ht="18.350000000000001" thickBot="1" x14ac:dyDescent="0.45">
      <c r="A20" t="s">
        <v>52</v>
      </c>
      <c r="G20" s="84">
        <f>G18-G19</f>
        <v>10888.151748655569</v>
      </c>
    </row>
    <row r="21" spans="1:7" ht="18.350000000000001" thickTop="1" x14ac:dyDescent="0.4"/>
    <row r="22" spans="1:7" x14ac:dyDescent="0.4">
      <c r="A22" t="s">
        <v>54</v>
      </c>
    </row>
    <row r="24" spans="1:7" x14ac:dyDescent="0.4">
      <c r="A24" t="s">
        <v>53</v>
      </c>
      <c r="G24" s="82">
        <f>G13+G20-20000</f>
        <v>-644.7393005377744</v>
      </c>
    </row>
    <row r="26" spans="1:7" x14ac:dyDescent="0.4">
      <c r="A26" t="s">
        <v>55</v>
      </c>
    </row>
  </sheetData>
  <mergeCells count="2">
    <mergeCell ref="A6:J6"/>
    <mergeCell ref="A3:J4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30"/>
  <sheetViews>
    <sheetView zoomScale="85" zoomScaleNormal="85" workbookViewId="0">
      <selection activeCell="S32" sqref="S32"/>
    </sheetView>
  </sheetViews>
  <sheetFormatPr defaultColWidth="8.109375" defaultRowHeight="17" x14ac:dyDescent="0.4"/>
  <cols>
    <col min="1" max="1" width="4.44140625" style="28" customWidth="1"/>
    <col min="2" max="2" width="8.44140625" style="28" customWidth="1"/>
    <col min="3" max="3" width="14.33203125" style="28" customWidth="1"/>
    <col min="4" max="4" width="1.88671875" style="28" customWidth="1"/>
    <col min="5" max="5" width="4.44140625" style="28" customWidth="1"/>
    <col min="6" max="6" width="8.44140625" style="28" customWidth="1"/>
    <col min="7" max="7" width="14.33203125" style="28" customWidth="1"/>
    <col min="8" max="8" width="1.88671875" style="28" customWidth="1"/>
    <col min="9" max="9" width="4.44140625" style="28" customWidth="1"/>
    <col min="10" max="10" width="8.44140625" style="28" customWidth="1"/>
    <col min="11" max="11" width="14.33203125" style="28" customWidth="1"/>
    <col min="12" max="16384" width="8.109375" style="28"/>
  </cols>
  <sheetData>
    <row r="1" spans="1:11" ht="17.7" x14ac:dyDescent="0.4">
      <c r="A1" s="71" t="s">
        <v>144</v>
      </c>
    </row>
    <row r="2" spans="1:11" x14ac:dyDescent="0.4">
      <c r="A2" s="64" t="s">
        <v>45</v>
      </c>
    </row>
    <row r="3" spans="1:11" ht="17.7" thickBot="1" x14ac:dyDescent="0.45"/>
    <row r="4" spans="1:11" ht="19.55" customHeight="1" thickBot="1" x14ac:dyDescent="0.45">
      <c r="A4" s="42" t="s">
        <v>49</v>
      </c>
      <c r="B4" s="43" t="s">
        <v>46</v>
      </c>
      <c r="C4" s="43" t="s">
        <v>50</v>
      </c>
      <c r="E4" s="42" t="s">
        <v>49</v>
      </c>
      <c r="F4" s="43" t="s">
        <v>46</v>
      </c>
      <c r="G4" s="43" t="s">
        <v>50</v>
      </c>
      <c r="I4" s="42" t="s">
        <v>49</v>
      </c>
      <c r="J4" s="43" t="s">
        <v>46</v>
      </c>
      <c r="K4" s="43" t="s">
        <v>50</v>
      </c>
    </row>
    <row r="5" spans="1:11" ht="19.55" customHeight="1" x14ac:dyDescent="0.4">
      <c r="A5" s="44">
        <v>0</v>
      </c>
      <c r="B5" s="45" t="s">
        <v>51</v>
      </c>
      <c r="C5" s="46"/>
      <c r="E5" s="44">
        <v>0</v>
      </c>
      <c r="F5" s="45" t="s">
        <v>51</v>
      </c>
      <c r="G5" s="44"/>
      <c r="I5" s="44">
        <v>0</v>
      </c>
      <c r="J5" s="47" t="s">
        <v>51</v>
      </c>
      <c r="K5" s="46"/>
    </row>
    <row r="6" spans="1:11" ht="19.55" customHeight="1" x14ac:dyDescent="0.4">
      <c r="A6" s="48">
        <v>1</v>
      </c>
      <c r="B6" s="49">
        <v>700</v>
      </c>
      <c r="C6" s="50"/>
      <c r="E6" s="51">
        <v>1</v>
      </c>
      <c r="F6" s="49">
        <v>1000</v>
      </c>
      <c r="G6" s="50"/>
      <c r="I6" s="48">
        <v>1</v>
      </c>
      <c r="J6" s="52">
        <v>700</v>
      </c>
      <c r="K6" s="50"/>
    </row>
    <row r="7" spans="1:11" ht="19.55" customHeight="1" x14ac:dyDescent="0.4">
      <c r="A7" s="48">
        <v>2</v>
      </c>
      <c r="B7" s="53">
        <v>1000</v>
      </c>
      <c r="C7" s="50"/>
      <c r="E7" s="51">
        <v>2</v>
      </c>
      <c r="F7" s="53">
        <v>900</v>
      </c>
      <c r="G7" s="50"/>
      <c r="I7" s="48">
        <v>2</v>
      </c>
      <c r="J7" s="54">
        <v>900</v>
      </c>
      <c r="K7" s="50"/>
    </row>
    <row r="8" spans="1:11" ht="19.55" customHeight="1" thickBot="1" x14ac:dyDescent="0.45">
      <c r="A8" s="55">
        <v>3</v>
      </c>
      <c r="B8" s="56">
        <v>900</v>
      </c>
      <c r="C8" s="57"/>
      <c r="E8" s="55">
        <v>3</v>
      </c>
      <c r="F8" s="56">
        <v>700</v>
      </c>
      <c r="G8" s="58"/>
      <c r="I8" s="55">
        <v>3</v>
      </c>
      <c r="J8" s="59">
        <v>1000</v>
      </c>
      <c r="K8" s="58"/>
    </row>
    <row r="9" spans="1:11" ht="19.55" customHeight="1" thickBot="1" x14ac:dyDescent="0.45">
      <c r="A9" s="55"/>
      <c r="B9" s="56" t="s">
        <v>47</v>
      </c>
      <c r="C9" s="60" t="s">
        <v>39</v>
      </c>
      <c r="E9" s="55"/>
      <c r="F9" s="56" t="s">
        <v>47</v>
      </c>
      <c r="G9" s="60" t="s">
        <v>39</v>
      </c>
      <c r="I9" s="55"/>
      <c r="J9" s="56" t="s">
        <v>47</v>
      </c>
      <c r="K9" s="60" t="s">
        <v>39</v>
      </c>
    </row>
    <row r="10" spans="1:11" x14ac:dyDescent="0.4">
      <c r="A10" s="28" t="s">
        <v>165</v>
      </c>
      <c r="E10" s="28" t="s">
        <v>165</v>
      </c>
      <c r="I10" s="28" t="s">
        <v>165</v>
      </c>
    </row>
    <row r="13" spans="1:11" ht="17.7" thickBot="1" x14ac:dyDescent="0.45"/>
    <row r="14" spans="1:11" ht="19.55" customHeight="1" thickBot="1" x14ac:dyDescent="0.45">
      <c r="A14" s="42" t="s">
        <v>49</v>
      </c>
      <c r="B14" s="43" t="s">
        <v>46</v>
      </c>
      <c r="C14" s="43" t="s">
        <v>50</v>
      </c>
      <c r="E14" s="42" t="s">
        <v>49</v>
      </c>
      <c r="F14" s="43" t="s">
        <v>46</v>
      </c>
      <c r="G14" s="43" t="s">
        <v>50</v>
      </c>
      <c r="I14" s="42" t="s">
        <v>49</v>
      </c>
      <c r="J14" s="43" t="s">
        <v>46</v>
      </c>
      <c r="K14" s="43" t="s">
        <v>50</v>
      </c>
    </row>
    <row r="15" spans="1:11" ht="19.55" customHeight="1" x14ac:dyDescent="0.4">
      <c r="A15" s="44">
        <v>0</v>
      </c>
      <c r="B15" s="45" t="s">
        <v>51</v>
      </c>
      <c r="C15" s="46"/>
      <c r="E15" s="44">
        <v>0</v>
      </c>
      <c r="F15" s="45" t="s">
        <v>51</v>
      </c>
      <c r="G15" s="46"/>
      <c r="I15" s="44">
        <v>0</v>
      </c>
      <c r="J15" s="47" t="s">
        <v>51</v>
      </c>
      <c r="K15" s="46"/>
    </row>
    <row r="16" spans="1:11" ht="19.55" customHeight="1" x14ac:dyDescent="0.4">
      <c r="A16" s="48">
        <v>1</v>
      </c>
      <c r="B16" s="49">
        <v>700</v>
      </c>
      <c r="C16" s="50"/>
      <c r="E16" s="51">
        <v>1</v>
      </c>
      <c r="F16" s="49">
        <v>1000</v>
      </c>
      <c r="G16" s="50"/>
      <c r="I16" s="48">
        <v>1</v>
      </c>
      <c r="J16" s="49">
        <v>700</v>
      </c>
      <c r="K16" s="50"/>
    </row>
    <row r="17" spans="1:11" ht="19.55" customHeight="1" x14ac:dyDescent="0.4">
      <c r="A17" s="48">
        <v>2</v>
      </c>
      <c r="B17" s="53">
        <v>1000</v>
      </c>
      <c r="C17" s="50"/>
      <c r="E17" s="51">
        <v>2</v>
      </c>
      <c r="F17" s="53">
        <v>900</v>
      </c>
      <c r="G17" s="50"/>
      <c r="I17" s="48">
        <v>2</v>
      </c>
      <c r="J17" s="53">
        <v>900</v>
      </c>
      <c r="K17" s="50"/>
    </row>
    <row r="18" spans="1:11" ht="19.55" customHeight="1" thickBot="1" x14ac:dyDescent="0.45">
      <c r="A18" s="55">
        <v>3</v>
      </c>
      <c r="B18" s="56">
        <v>900</v>
      </c>
      <c r="C18" s="58"/>
      <c r="E18" s="55">
        <v>3</v>
      </c>
      <c r="F18" s="56">
        <v>700</v>
      </c>
      <c r="G18" s="58"/>
      <c r="I18" s="55">
        <v>3</v>
      </c>
      <c r="J18" s="59">
        <v>1000</v>
      </c>
      <c r="K18" s="58"/>
    </row>
    <row r="19" spans="1:11" ht="19.55" customHeight="1" thickBot="1" x14ac:dyDescent="0.45">
      <c r="A19" s="55"/>
      <c r="B19" s="56" t="s">
        <v>47</v>
      </c>
      <c r="C19" s="60" t="s">
        <v>39</v>
      </c>
      <c r="E19" s="55"/>
      <c r="F19" s="56" t="s">
        <v>47</v>
      </c>
      <c r="G19" s="60" t="s">
        <v>39</v>
      </c>
      <c r="I19" s="55"/>
      <c r="J19" s="56" t="s">
        <v>47</v>
      </c>
      <c r="K19" s="60" t="s">
        <v>39</v>
      </c>
    </row>
    <row r="20" spans="1:11" x14ac:dyDescent="0.4">
      <c r="A20" s="28" t="s">
        <v>166</v>
      </c>
      <c r="E20" s="28" t="s">
        <v>166</v>
      </c>
      <c r="I20" s="28" t="s">
        <v>166</v>
      </c>
    </row>
    <row r="23" spans="1:11" ht="17.7" thickBot="1" x14ac:dyDescent="0.45"/>
    <row r="24" spans="1:11" ht="19.55" customHeight="1" thickBot="1" x14ac:dyDescent="0.45">
      <c r="A24" s="42" t="s">
        <v>49</v>
      </c>
      <c r="B24" s="43" t="s">
        <v>46</v>
      </c>
      <c r="C24" s="43" t="s">
        <v>50</v>
      </c>
      <c r="E24" s="42" t="s">
        <v>49</v>
      </c>
      <c r="F24" s="43" t="s">
        <v>46</v>
      </c>
      <c r="G24" s="43" t="s">
        <v>50</v>
      </c>
      <c r="I24" s="42" t="s">
        <v>49</v>
      </c>
      <c r="J24" s="43" t="s">
        <v>46</v>
      </c>
      <c r="K24" s="43" t="s">
        <v>50</v>
      </c>
    </row>
    <row r="25" spans="1:11" ht="19.55" customHeight="1" x14ac:dyDescent="0.4">
      <c r="A25" s="44">
        <v>0</v>
      </c>
      <c r="B25" s="45" t="s">
        <v>51</v>
      </c>
      <c r="C25" s="46"/>
      <c r="E25" s="44">
        <v>0</v>
      </c>
      <c r="F25" s="45" t="s">
        <v>51</v>
      </c>
      <c r="G25" s="46"/>
      <c r="I25" s="44">
        <v>0</v>
      </c>
      <c r="J25" s="45" t="s">
        <v>51</v>
      </c>
      <c r="K25" s="46"/>
    </row>
    <row r="26" spans="1:11" ht="19.55" customHeight="1" x14ac:dyDescent="0.4">
      <c r="A26" s="48">
        <v>1</v>
      </c>
      <c r="B26" s="61">
        <v>700</v>
      </c>
      <c r="C26" s="62"/>
      <c r="E26" s="48">
        <v>1</v>
      </c>
      <c r="F26" s="49">
        <v>1000</v>
      </c>
      <c r="G26" s="50"/>
      <c r="I26" s="48">
        <v>1</v>
      </c>
      <c r="J26" s="61">
        <v>700</v>
      </c>
      <c r="K26" s="62"/>
    </row>
    <row r="27" spans="1:11" ht="19.55" customHeight="1" x14ac:dyDescent="0.4">
      <c r="A27" s="48">
        <v>2</v>
      </c>
      <c r="B27" s="53">
        <v>1000</v>
      </c>
      <c r="C27" s="50"/>
      <c r="E27" s="48">
        <v>2</v>
      </c>
      <c r="F27" s="53">
        <v>900</v>
      </c>
      <c r="G27" s="50"/>
      <c r="I27" s="48">
        <v>2</v>
      </c>
      <c r="J27" s="63">
        <v>900</v>
      </c>
      <c r="K27" s="62"/>
    </row>
    <row r="28" spans="1:11" ht="19.55" customHeight="1" thickBot="1" x14ac:dyDescent="0.45">
      <c r="A28" s="55">
        <v>3</v>
      </c>
      <c r="B28" s="56">
        <v>900</v>
      </c>
      <c r="C28" s="58"/>
      <c r="E28" s="55">
        <v>3</v>
      </c>
      <c r="F28" s="56">
        <v>700</v>
      </c>
      <c r="G28" s="58"/>
      <c r="I28" s="55">
        <v>3</v>
      </c>
      <c r="J28" s="59">
        <v>1000</v>
      </c>
      <c r="K28" s="58"/>
    </row>
    <row r="29" spans="1:11" ht="19.55" customHeight="1" thickBot="1" x14ac:dyDescent="0.45">
      <c r="A29" s="55"/>
      <c r="B29" s="56" t="s">
        <v>47</v>
      </c>
      <c r="C29" s="60" t="s">
        <v>39</v>
      </c>
      <c r="E29" s="55"/>
      <c r="F29" s="56" t="s">
        <v>47</v>
      </c>
      <c r="G29" s="60" t="s">
        <v>39</v>
      </c>
      <c r="I29" s="55"/>
      <c r="J29" s="56" t="s">
        <v>47</v>
      </c>
      <c r="K29" s="60" t="s">
        <v>39</v>
      </c>
    </row>
    <row r="30" spans="1:11" x14ac:dyDescent="0.4">
      <c r="A30" s="28" t="s">
        <v>167</v>
      </c>
      <c r="E30" s="28" t="s">
        <v>167</v>
      </c>
      <c r="I30" s="28" t="s">
        <v>167</v>
      </c>
    </row>
  </sheetData>
  <phoneticPr fontId="1"/>
  <pageMargins left="0.7" right="0.7" top="0.75" bottom="0.75" header="0.3" footer="0.3"/>
  <pageSetup paperSize="9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K30"/>
  <sheetViews>
    <sheetView zoomScale="85" zoomScaleNormal="85" workbookViewId="0">
      <selection activeCell="A2" sqref="A2"/>
    </sheetView>
  </sheetViews>
  <sheetFormatPr defaultColWidth="8.109375" defaultRowHeight="17" x14ac:dyDescent="0.4"/>
  <cols>
    <col min="1" max="1" width="4.44140625" style="27" customWidth="1"/>
    <col min="2" max="2" width="8.44140625" style="27" customWidth="1"/>
    <col min="3" max="3" width="14.33203125" style="27" customWidth="1"/>
    <col min="4" max="4" width="1.88671875" style="27" customWidth="1"/>
    <col min="5" max="5" width="4.44140625" style="27" customWidth="1"/>
    <col min="6" max="6" width="8.44140625" style="27" customWidth="1"/>
    <col min="7" max="7" width="14.33203125" style="27" customWidth="1"/>
    <col min="8" max="8" width="1.88671875" style="27" customWidth="1"/>
    <col min="9" max="9" width="4.44140625" style="27" customWidth="1"/>
    <col min="10" max="10" width="8.44140625" style="27" customWidth="1"/>
    <col min="11" max="11" width="14.33203125" style="27" customWidth="1"/>
    <col min="12" max="16384" width="8.109375" style="27"/>
  </cols>
  <sheetData>
    <row r="1" spans="1:11" ht="17.7" x14ac:dyDescent="0.4">
      <c r="A1" s="71" t="s">
        <v>144</v>
      </c>
    </row>
    <row r="2" spans="1:11" x14ac:dyDescent="0.4">
      <c r="A2" s="27" t="s">
        <v>45</v>
      </c>
    </row>
    <row r="3" spans="1:11" ht="17.7" thickBot="1" x14ac:dyDescent="0.45"/>
    <row r="4" spans="1:11" ht="19.55" customHeight="1" thickBot="1" x14ac:dyDescent="0.45">
      <c r="A4" s="29" t="s">
        <v>49</v>
      </c>
      <c r="B4" s="30" t="s">
        <v>46</v>
      </c>
      <c r="C4" s="29" t="s">
        <v>50</v>
      </c>
      <c r="E4" s="29" t="s">
        <v>49</v>
      </c>
      <c r="F4" s="30" t="s">
        <v>46</v>
      </c>
      <c r="G4" s="30" t="s">
        <v>50</v>
      </c>
      <c r="I4" s="29" t="s">
        <v>49</v>
      </c>
      <c r="J4" s="30" t="s">
        <v>46</v>
      </c>
      <c r="K4" s="30" t="s">
        <v>50</v>
      </c>
    </row>
    <row r="5" spans="1:11" ht="19.55" customHeight="1" x14ac:dyDescent="0.4">
      <c r="A5" s="31">
        <v>0</v>
      </c>
      <c r="B5" s="32">
        <v>-2000</v>
      </c>
      <c r="C5" s="32">
        <f>B5</f>
        <v>-2000</v>
      </c>
      <c r="E5" s="31">
        <v>0</v>
      </c>
      <c r="F5" s="32">
        <v>-2000</v>
      </c>
      <c r="G5" s="32">
        <f>F5</f>
        <v>-2000</v>
      </c>
      <c r="I5" s="31">
        <v>0</v>
      </c>
      <c r="J5" s="32">
        <v>-2000</v>
      </c>
      <c r="K5" s="32">
        <f>J5</f>
        <v>-2000</v>
      </c>
    </row>
    <row r="6" spans="1:11" ht="19.55" customHeight="1" x14ac:dyDescent="0.4">
      <c r="A6" s="33">
        <v>1</v>
      </c>
      <c r="B6" s="34">
        <v>700</v>
      </c>
      <c r="C6" s="35">
        <f>B6/(1.05)^A6</f>
        <v>666.66666666666663</v>
      </c>
      <c r="E6" s="36">
        <v>1</v>
      </c>
      <c r="F6" s="34">
        <v>1000</v>
      </c>
      <c r="G6" s="35">
        <f>F6/(1.05)^E6</f>
        <v>952.38095238095229</v>
      </c>
      <c r="I6" s="33">
        <v>1</v>
      </c>
      <c r="J6" s="35">
        <v>700</v>
      </c>
      <c r="K6" s="35">
        <f>J6/(1.05)^I6</f>
        <v>666.66666666666663</v>
      </c>
    </row>
    <row r="7" spans="1:11" ht="19.55" customHeight="1" x14ac:dyDescent="0.4">
      <c r="A7" s="33">
        <v>2</v>
      </c>
      <c r="B7" s="34">
        <v>1000</v>
      </c>
      <c r="C7" s="35">
        <f>B7/(1.05)^A7</f>
        <v>907.02947845804988</v>
      </c>
      <c r="E7" s="36">
        <v>2</v>
      </c>
      <c r="F7" s="34">
        <v>900</v>
      </c>
      <c r="G7" s="35">
        <f>F7/(1.05)^E7</f>
        <v>816.32653061224482</v>
      </c>
      <c r="I7" s="33">
        <v>2</v>
      </c>
      <c r="J7" s="35">
        <v>900</v>
      </c>
      <c r="K7" s="35">
        <f>J7/(1.05)^I7</f>
        <v>816.32653061224482</v>
      </c>
    </row>
    <row r="8" spans="1:11" ht="19.55" customHeight="1" thickBot="1" x14ac:dyDescent="0.45">
      <c r="A8" s="37">
        <v>3</v>
      </c>
      <c r="B8" s="38">
        <v>900</v>
      </c>
      <c r="C8" s="39">
        <f>B8/(1.05)^A8</f>
        <v>777.45383867832834</v>
      </c>
      <c r="E8" s="37">
        <v>3</v>
      </c>
      <c r="F8" s="38">
        <v>700</v>
      </c>
      <c r="G8" s="39">
        <f>F8/(1.05)^E8</f>
        <v>604.68631897203318</v>
      </c>
      <c r="I8" s="37">
        <v>3</v>
      </c>
      <c r="J8" s="38">
        <v>1000</v>
      </c>
      <c r="K8" s="39">
        <f>J8/(1.05)^I8</f>
        <v>863.83759853147603</v>
      </c>
    </row>
    <row r="9" spans="1:11" ht="19.55" customHeight="1" thickBot="1" x14ac:dyDescent="0.45">
      <c r="A9" s="37"/>
      <c r="B9" s="38" t="s">
        <v>47</v>
      </c>
      <c r="C9" s="40">
        <f>SUM(C5:C8)</f>
        <v>351.14998380304473</v>
      </c>
      <c r="E9" s="37"/>
      <c r="F9" s="38" t="s">
        <v>47</v>
      </c>
      <c r="G9" s="40">
        <f>SUM(G5:G8)</f>
        <v>373.3938019652303</v>
      </c>
      <c r="I9" s="37"/>
      <c r="J9" s="38" t="s">
        <v>47</v>
      </c>
      <c r="K9" s="40">
        <f>SUM(K5:K8)</f>
        <v>346.83079581038737</v>
      </c>
    </row>
    <row r="10" spans="1:11" x14ac:dyDescent="0.4">
      <c r="A10" s="27" t="s">
        <v>165</v>
      </c>
      <c r="E10" s="27" t="s">
        <v>165</v>
      </c>
      <c r="I10" s="27" t="s">
        <v>165</v>
      </c>
    </row>
    <row r="13" spans="1:11" ht="17.7" thickBot="1" x14ac:dyDescent="0.45"/>
    <row r="14" spans="1:11" ht="19.55" customHeight="1" thickBot="1" x14ac:dyDescent="0.45">
      <c r="A14" s="29" t="s">
        <v>49</v>
      </c>
      <c r="B14" s="30" t="s">
        <v>46</v>
      </c>
      <c r="C14" s="30" t="s">
        <v>50</v>
      </c>
      <c r="E14" s="29" t="s">
        <v>49</v>
      </c>
      <c r="F14" s="30" t="s">
        <v>46</v>
      </c>
      <c r="G14" s="30" t="s">
        <v>50</v>
      </c>
      <c r="I14" s="29" t="s">
        <v>49</v>
      </c>
      <c r="J14" s="30" t="s">
        <v>46</v>
      </c>
      <c r="K14" s="30" t="s">
        <v>50</v>
      </c>
    </row>
    <row r="15" spans="1:11" ht="19.55" customHeight="1" x14ac:dyDescent="0.4">
      <c r="A15" s="31">
        <v>0</v>
      </c>
      <c r="B15" s="32">
        <v>-2000</v>
      </c>
      <c r="C15" s="32">
        <f>B15</f>
        <v>-2000</v>
      </c>
      <c r="E15" s="31">
        <v>0</v>
      </c>
      <c r="F15" s="32">
        <v>-2000</v>
      </c>
      <c r="G15" s="32">
        <f>F15</f>
        <v>-2000</v>
      </c>
      <c r="I15" s="31">
        <v>0</v>
      </c>
      <c r="J15" s="32">
        <v>-2000</v>
      </c>
      <c r="K15" s="32">
        <f>J15</f>
        <v>-2000</v>
      </c>
    </row>
    <row r="16" spans="1:11" ht="19.55" customHeight="1" x14ac:dyDescent="0.4">
      <c r="A16" s="33">
        <v>1</v>
      </c>
      <c r="B16" s="34">
        <v>700</v>
      </c>
      <c r="C16" s="35">
        <f>B16/(1.06)^A16</f>
        <v>660.37735849056605</v>
      </c>
      <c r="E16" s="36">
        <v>1</v>
      </c>
      <c r="F16" s="34">
        <v>1000</v>
      </c>
      <c r="G16" s="35">
        <f>F16/(1.06)^E16</f>
        <v>943.39622641509425</v>
      </c>
      <c r="I16" s="33">
        <v>1</v>
      </c>
      <c r="J16" s="34">
        <v>700</v>
      </c>
      <c r="K16" s="35">
        <f>J16/(1.06)^I16</f>
        <v>660.37735849056605</v>
      </c>
    </row>
    <row r="17" spans="1:11" ht="19.55" customHeight="1" x14ac:dyDescent="0.4">
      <c r="A17" s="33">
        <v>2</v>
      </c>
      <c r="B17" s="34">
        <v>1000</v>
      </c>
      <c r="C17" s="35">
        <f>B17/(1.06)^A17</f>
        <v>889.99644001423985</v>
      </c>
      <c r="E17" s="36">
        <v>2</v>
      </c>
      <c r="F17" s="34">
        <v>900</v>
      </c>
      <c r="G17" s="35">
        <f>F17/(1.06)^E17</f>
        <v>800.99679601281582</v>
      </c>
      <c r="I17" s="33">
        <v>2</v>
      </c>
      <c r="J17" s="34">
        <v>900</v>
      </c>
      <c r="K17" s="35">
        <f>J17/(1.06)^I17</f>
        <v>800.99679601281582</v>
      </c>
    </row>
    <row r="18" spans="1:11" ht="19.55" customHeight="1" thickBot="1" x14ac:dyDescent="0.45">
      <c r="A18" s="37">
        <v>3</v>
      </c>
      <c r="B18" s="38">
        <v>900</v>
      </c>
      <c r="C18" s="35">
        <f>B18/(1.06)^A18</f>
        <v>755.65735472907147</v>
      </c>
      <c r="E18" s="37">
        <v>3</v>
      </c>
      <c r="F18" s="38">
        <v>700</v>
      </c>
      <c r="G18" s="35">
        <f>F18/(1.06)^E18</f>
        <v>587.73349812261108</v>
      </c>
      <c r="I18" s="37">
        <v>3</v>
      </c>
      <c r="J18" s="38">
        <v>1000</v>
      </c>
      <c r="K18" s="35">
        <f>J18/(1.06)^I18</f>
        <v>839.61928303230161</v>
      </c>
    </row>
    <row r="19" spans="1:11" ht="19.55" customHeight="1" thickBot="1" x14ac:dyDescent="0.45">
      <c r="A19" s="37"/>
      <c r="B19" s="38" t="s">
        <v>47</v>
      </c>
      <c r="C19" s="40">
        <f>SUM(C15:C18)</f>
        <v>306.03115323387749</v>
      </c>
      <c r="E19" s="37"/>
      <c r="F19" s="38" t="s">
        <v>47</v>
      </c>
      <c r="G19" s="40">
        <f>SUM(G15:G18)</f>
        <v>332.12652055052104</v>
      </c>
      <c r="I19" s="37"/>
      <c r="J19" s="38" t="s">
        <v>47</v>
      </c>
      <c r="K19" s="40">
        <f>SUM(K15:K18)</f>
        <v>300.9934375356836</v>
      </c>
    </row>
    <row r="20" spans="1:11" x14ac:dyDescent="0.4">
      <c r="A20" s="27" t="s">
        <v>166</v>
      </c>
      <c r="E20" s="27" t="s">
        <v>166</v>
      </c>
      <c r="I20" s="27" t="s">
        <v>166</v>
      </c>
    </row>
    <row r="23" spans="1:11" ht="17.7" thickBot="1" x14ac:dyDescent="0.45"/>
    <row r="24" spans="1:11" ht="19.55" customHeight="1" thickBot="1" x14ac:dyDescent="0.45">
      <c r="A24" s="29" t="s">
        <v>49</v>
      </c>
      <c r="B24" s="30" t="s">
        <v>46</v>
      </c>
      <c r="C24" s="30" t="s">
        <v>50</v>
      </c>
      <c r="E24" s="29" t="s">
        <v>49</v>
      </c>
      <c r="F24" s="30" t="s">
        <v>46</v>
      </c>
      <c r="G24" s="30" t="s">
        <v>50</v>
      </c>
      <c r="I24" s="29" t="s">
        <v>49</v>
      </c>
      <c r="J24" s="30" t="s">
        <v>46</v>
      </c>
      <c r="K24" s="30" t="s">
        <v>50</v>
      </c>
    </row>
    <row r="25" spans="1:11" ht="19.55" customHeight="1" x14ac:dyDescent="0.4">
      <c r="A25" s="31">
        <v>0</v>
      </c>
      <c r="B25" s="32">
        <v>-2000</v>
      </c>
      <c r="C25" s="32">
        <f>B25</f>
        <v>-2000</v>
      </c>
      <c r="E25" s="31">
        <v>0</v>
      </c>
      <c r="F25" s="32">
        <v>-2000</v>
      </c>
      <c r="G25" s="32">
        <f>F25</f>
        <v>-2000</v>
      </c>
      <c r="I25" s="31">
        <v>0</v>
      </c>
      <c r="J25" s="32">
        <v>-2000</v>
      </c>
      <c r="K25" s="32">
        <f>J25</f>
        <v>-2000</v>
      </c>
    </row>
    <row r="26" spans="1:11" ht="19.55" customHeight="1" x14ac:dyDescent="0.4">
      <c r="A26" s="33">
        <v>1</v>
      </c>
      <c r="B26" s="41">
        <v>700</v>
      </c>
      <c r="C26" s="35">
        <f>B26/(1.07)^A26</f>
        <v>654.20560747663546</v>
      </c>
      <c r="E26" s="33">
        <v>1</v>
      </c>
      <c r="F26" s="34">
        <v>1000</v>
      </c>
      <c r="G26" s="35">
        <f>F26/(1.07)^E26</f>
        <v>934.57943925233644</v>
      </c>
      <c r="I26" s="33">
        <v>1</v>
      </c>
      <c r="J26" s="41">
        <v>700</v>
      </c>
      <c r="K26" s="35">
        <f>J26/(1.07)^I26</f>
        <v>654.20560747663546</v>
      </c>
    </row>
    <row r="27" spans="1:11" ht="19.55" customHeight="1" x14ac:dyDescent="0.4">
      <c r="A27" s="33">
        <v>2</v>
      </c>
      <c r="B27" s="34">
        <v>1000</v>
      </c>
      <c r="C27" s="35">
        <f>B27/(1.07)^A27</f>
        <v>873.43872827321161</v>
      </c>
      <c r="E27" s="33">
        <v>2</v>
      </c>
      <c r="F27" s="34">
        <v>900</v>
      </c>
      <c r="G27" s="35">
        <f>F27/(1.07)^E27</f>
        <v>786.0948554458904</v>
      </c>
      <c r="I27" s="33">
        <v>2</v>
      </c>
      <c r="J27" s="41">
        <v>900</v>
      </c>
      <c r="K27" s="35">
        <f>J27/(1.07)^I27</f>
        <v>786.0948554458904</v>
      </c>
    </row>
    <row r="28" spans="1:11" ht="19.55" customHeight="1" thickBot="1" x14ac:dyDescent="0.45">
      <c r="A28" s="37">
        <v>3</v>
      </c>
      <c r="B28" s="38">
        <v>900</v>
      </c>
      <c r="C28" s="35">
        <f>B28/(1.07)^A28</f>
        <v>734.66808920176675</v>
      </c>
      <c r="E28" s="37">
        <v>3</v>
      </c>
      <c r="F28" s="38">
        <v>700</v>
      </c>
      <c r="G28" s="35">
        <f>F28/(1.07)^E28</f>
        <v>571.40851382359631</v>
      </c>
      <c r="I28" s="37">
        <v>3</v>
      </c>
      <c r="J28" s="38">
        <v>1000</v>
      </c>
      <c r="K28" s="35">
        <f>J28/(1.07)^I28</f>
        <v>816.29787689085197</v>
      </c>
    </row>
    <row r="29" spans="1:11" ht="19.55" customHeight="1" thickBot="1" x14ac:dyDescent="0.45">
      <c r="A29" s="37"/>
      <c r="B29" s="38" t="s">
        <v>47</v>
      </c>
      <c r="C29" s="40">
        <f>SUM(C25:C28)</f>
        <v>262.31242495161393</v>
      </c>
      <c r="E29" s="37"/>
      <c r="F29" s="38" t="s">
        <v>47</v>
      </c>
      <c r="G29" s="40">
        <f>SUM(G25:G28)</f>
        <v>292.08280852182315</v>
      </c>
      <c r="I29" s="37"/>
      <c r="J29" s="38" t="s">
        <v>47</v>
      </c>
      <c r="K29" s="40">
        <f>SUM(K25:K28)</f>
        <v>256.59833981337795</v>
      </c>
    </row>
    <row r="30" spans="1:11" x14ac:dyDescent="0.4">
      <c r="A30" s="27" t="s">
        <v>167</v>
      </c>
      <c r="E30" s="27" t="s">
        <v>167</v>
      </c>
      <c r="I30" s="27" t="s">
        <v>167</v>
      </c>
    </row>
  </sheetData>
  <phoneticPr fontId="1"/>
  <pageMargins left="0.7" right="0.7" top="0.75" bottom="0.75" header="0.3" footer="0.3"/>
  <pageSetup paperSize="9" orientation="landscape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M27"/>
  <sheetViews>
    <sheetView zoomScale="85" zoomScaleNormal="85" workbookViewId="0"/>
  </sheetViews>
  <sheetFormatPr defaultRowHeight="17.7" x14ac:dyDescent="0.4"/>
  <cols>
    <col min="2" max="2" width="9.44140625" customWidth="1"/>
    <col min="3" max="13" width="7.5546875" customWidth="1"/>
  </cols>
  <sheetData>
    <row r="1" spans="1:13" x14ac:dyDescent="0.4">
      <c r="A1" t="s">
        <v>2</v>
      </c>
      <c r="B1">
        <v>10000</v>
      </c>
    </row>
    <row r="2" spans="1:13" x14ac:dyDescent="0.4">
      <c r="A2" t="s">
        <v>1</v>
      </c>
      <c r="B2" s="1">
        <v>0.05</v>
      </c>
    </row>
    <row r="3" spans="1:13" x14ac:dyDescent="0.4">
      <c r="B3" s="1"/>
    </row>
    <row r="4" spans="1:13" x14ac:dyDescent="0.4">
      <c r="A4" s="17"/>
      <c r="B4" s="17">
        <v>0</v>
      </c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/>
    </row>
    <row r="5" spans="1:13" x14ac:dyDescent="0.4">
      <c r="A5" s="169" t="s">
        <v>3</v>
      </c>
      <c r="B5" s="169">
        <v>-10000</v>
      </c>
      <c r="C5" s="169">
        <f>$B$1*$B$2</f>
        <v>500</v>
      </c>
      <c r="D5" s="169">
        <f t="shared" ref="D5:K5" si="0">$B$1*$B$2</f>
        <v>500</v>
      </c>
      <c r="E5" s="169">
        <f t="shared" si="0"/>
        <v>500</v>
      </c>
      <c r="F5" s="169">
        <f t="shared" si="0"/>
        <v>500</v>
      </c>
      <c r="G5" s="169">
        <f t="shared" si="0"/>
        <v>500</v>
      </c>
      <c r="H5" s="169">
        <f t="shared" si="0"/>
        <v>500</v>
      </c>
      <c r="I5" s="169">
        <f t="shared" si="0"/>
        <v>500</v>
      </c>
      <c r="J5" s="169">
        <f t="shared" si="0"/>
        <v>500</v>
      </c>
      <c r="K5" s="169">
        <f t="shared" si="0"/>
        <v>500</v>
      </c>
      <c r="L5" s="169">
        <f>$B$1*$B$2+B1</f>
        <v>10500</v>
      </c>
      <c r="M5" s="169" t="s">
        <v>4</v>
      </c>
    </row>
    <row r="6" spans="1:13" x14ac:dyDescent="0.4">
      <c r="A6" s="10" t="s">
        <v>0</v>
      </c>
      <c r="B6" s="170">
        <f>B5/((1+$B$2)^B4)</f>
        <v>-10000</v>
      </c>
      <c r="C6" s="170">
        <f>C5/((1+$B$2)^C4)</f>
        <v>476.19047619047615</v>
      </c>
      <c r="D6" s="170">
        <f t="shared" ref="D6:L6" si="1">D5/((1+$B$2)^D4)</f>
        <v>453.51473922902494</v>
      </c>
      <c r="E6" s="170">
        <f t="shared" si="1"/>
        <v>431.91879926573802</v>
      </c>
      <c r="F6" s="170">
        <f t="shared" si="1"/>
        <v>411.35123739594098</v>
      </c>
      <c r="G6" s="170">
        <f t="shared" si="1"/>
        <v>391.7630832342295</v>
      </c>
      <c r="H6" s="170">
        <f t="shared" si="1"/>
        <v>373.10769831831385</v>
      </c>
      <c r="I6" s="170">
        <f t="shared" si="1"/>
        <v>355.3406650650607</v>
      </c>
      <c r="J6" s="170">
        <f t="shared" si="1"/>
        <v>338.41968101434361</v>
      </c>
      <c r="K6" s="170">
        <f t="shared" si="1"/>
        <v>322.30445810889864</v>
      </c>
      <c r="L6" s="170">
        <f t="shared" si="1"/>
        <v>6446.0891621779729</v>
      </c>
      <c r="M6" s="171">
        <f>SUM(C6:L6)</f>
        <v>10000</v>
      </c>
    </row>
    <row r="7" spans="1:13" x14ac:dyDescent="0.4">
      <c r="A7" t="s">
        <v>5</v>
      </c>
      <c r="M7" s="2">
        <f>M6+B5</f>
        <v>0</v>
      </c>
    </row>
    <row r="8" spans="1:13" x14ac:dyDescent="0.4">
      <c r="M8" s="2"/>
    </row>
    <row r="9" spans="1:13" x14ac:dyDescent="0.4">
      <c r="A9" s="17"/>
      <c r="B9" s="17">
        <v>0</v>
      </c>
      <c r="C9" s="17">
        <v>1</v>
      </c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4">
      <c r="A10" s="16" t="s">
        <v>3</v>
      </c>
      <c r="B10" s="16">
        <v>-10000</v>
      </c>
      <c r="C10" s="16">
        <f>$B$1*$B$2+B1</f>
        <v>10500</v>
      </c>
      <c r="D10" s="16"/>
      <c r="E10" s="16"/>
      <c r="F10" s="16"/>
      <c r="G10" s="16"/>
      <c r="H10" s="16"/>
      <c r="I10" s="16"/>
      <c r="J10" s="16"/>
      <c r="K10" s="16"/>
      <c r="L10" s="16"/>
      <c r="M10" s="16" t="s">
        <v>4</v>
      </c>
    </row>
    <row r="11" spans="1:13" x14ac:dyDescent="0.4">
      <c r="A11" s="10" t="s">
        <v>0</v>
      </c>
      <c r="B11" s="170">
        <f>B10/((1+$B$2)^B9)</f>
        <v>-10000</v>
      </c>
      <c r="C11" s="170">
        <f>C10/((1+$B$2)^C9)</f>
        <v>10000</v>
      </c>
      <c r="D11" s="170"/>
      <c r="E11" s="170"/>
      <c r="F11" s="170"/>
      <c r="G11" s="170"/>
      <c r="H11" s="10"/>
      <c r="I11" s="10"/>
      <c r="J11" s="10"/>
      <c r="K11" s="10"/>
      <c r="L11" s="10"/>
      <c r="M11" s="171">
        <f>SUM(C11:L11)</f>
        <v>10000</v>
      </c>
    </row>
    <row r="12" spans="1:13" x14ac:dyDescent="0.4">
      <c r="A12" t="s">
        <v>5</v>
      </c>
      <c r="M12" s="2">
        <f>M11+B10</f>
        <v>0</v>
      </c>
    </row>
    <row r="13" spans="1:13" x14ac:dyDescent="0.4">
      <c r="M13" s="2"/>
    </row>
    <row r="14" spans="1:13" x14ac:dyDescent="0.4">
      <c r="A14" s="17"/>
      <c r="B14" s="17">
        <v>0</v>
      </c>
      <c r="C14" s="17">
        <v>1</v>
      </c>
      <c r="D14" s="17">
        <v>2</v>
      </c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4">
      <c r="A15" t="s">
        <v>3</v>
      </c>
      <c r="B15">
        <v>-10000</v>
      </c>
      <c r="C15">
        <f>$B$1*$B$2</f>
        <v>500</v>
      </c>
      <c r="D15">
        <f>$B$1*$B$2+B1</f>
        <v>10500</v>
      </c>
      <c r="M15" t="s">
        <v>4</v>
      </c>
    </row>
    <row r="16" spans="1:13" x14ac:dyDescent="0.4">
      <c r="A16" s="10" t="s">
        <v>0</v>
      </c>
      <c r="B16" s="170">
        <f>B15/((1+$B$2)^B14)</f>
        <v>-10000</v>
      </c>
      <c r="C16" s="170">
        <f>C15/((1+$B$2)^C14)</f>
        <v>476.19047619047615</v>
      </c>
      <c r="D16" s="170">
        <f t="shared" ref="D16" si="2">D15/((1+$B$2)^D14)</f>
        <v>9523.8095238095229</v>
      </c>
      <c r="E16" s="170"/>
      <c r="F16" s="170"/>
      <c r="G16" s="170"/>
      <c r="H16" s="10"/>
      <c r="I16" s="10"/>
      <c r="J16" s="10"/>
      <c r="K16" s="10"/>
      <c r="L16" s="10"/>
      <c r="M16" s="171">
        <f>SUM(C16:L16)</f>
        <v>10000</v>
      </c>
    </row>
    <row r="17" spans="1:13" x14ac:dyDescent="0.4">
      <c r="A17" t="s">
        <v>5</v>
      </c>
      <c r="M17" s="2">
        <f>M16+B15</f>
        <v>0</v>
      </c>
    </row>
    <row r="18" spans="1:13" x14ac:dyDescent="0.4">
      <c r="M18" s="2"/>
    </row>
    <row r="19" spans="1:13" x14ac:dyDescent="0.4">
      <c r="A19" s="17"/>
      <c r="B19" s="17">
        <v>0</v>
      </c>
      <c r="C19" s="17">
        <v>1</v>
      </c>
      <c r="D19" s="17">
        <v>2</v>
      </c>
      <c r="E19" s="17">
        <v>3</v>
      </c>
      <c r="F19" s="17"/>
      <c r="G19" s="17"/>
      <c r="H19" s="17"/>
      <c r="I19" s="17"/>
      <c r="J19" s="17"/>
      <c r="K19" s="17"/>
      <c r="L19" s="17"/>
      <c r="M19" s="17"/>
    </row>
    <row r="20" spans="1:13" x14ac:dyDescent="0.4">
      <c r="A20" s="16" t="s">
        <v>3</v>
      </c>
      <c r="B20" s="16">
        <v>-10000</v>
      </c>
      <c r="C20" s="16">
        <f>$B$1*$B$2</f>
        <v>500</v>
      </c>
      <c r="D20" s="16">
        <f t="shared" ref="D20" si="3">$B$1*$B$2</f>
        <v>500</v>
      </c>
      <c r="E20" s="16">
        <f>$B$1*$B$2+B1</f>
        <v>10500</v>
      </c>
      <c r="F20" s="16"/>
      <c r="G20" s="16"/>
      <c r="H20" s="16"/>
      <c r="I20" s="16"/>
      <c r="J20" s="16"/>
      <c r="K20" s="16"/>
      <c r="L20" s="16"/>
      <c r="M20" s="16" t="s">
        <v>4</v>
      </c>
    </row>
    <row r="21" spans="1:13" x14ac:dyDescent="0.4">
      <c r="A21" s="10" t="s">
        <v>0</v>
      </c>
      <c r="B21" s="170">
        <f>B20/((1+$B$2)^B19)</f>
        <v>-10000</v>
      </c>
      <c r="C21" s="170">
        <f>C20/((1+$B$2)^C19)</f>
        <v>476.19047619047615</v>
      </c>
      <c r="D21" s="170">
        <f t="shared" ref="D21" si="4">D20/((1+$B$2)^D19)</f>
        <v>453.51473922902494</v>
      </c>
      <c r="E21" s="170">
        <f t="shared" ref="E21" si="5">E20/((1+$B$2)^E19)</f>
        <v>9070.2947845804974</v>
      </c>
      <c r="F21" s="170"/>
      <c r="G21" s="170"/>
      <c r="H21" s="10"/>
      <c r="I21" s="10"/>
      <c r="J21" s="10"/>
      <c r="K21" s="10"/>
      <c r="L21" s="10"/>
      <c r="M21" s="171">
        <f>SUM(C21:L21)</f>
        <v>9999.9999999999982</v>
      </c>
    </row>
    <row r="22" spans="1:13" x14ac:dyDescent="0.4">
      <c r="A22" t="s">
        <v>5</v>
      </c>
      <c r="M22" s="2">
        <f>M21+B20</f>
        <v>0</v>
      </c>
    </row>
    <row r="24" spans="1:13" x14ac:dyDescent="0.4">
      <c r="A24" s="17"/>
      <c r="B24" s="17">
        <v>0</v>
      </c>
      <c r="C24" s="17">
        <v>1</v>
      </c>
      <c r="D24" s="17">
        <v>2</v>
      </c>
      <c r="E24" s="17">
        <v>3</v>
      </c>
      <c r="F24" s="17">
        <v>4</v>
      </c>
      <c r="G24" s="17">
        <v>5</v>
      </c>
      <c r="H24" s="17"/>
      <c r="I24" s="17"/>
      <c r="J24" s="17"/>
      <c r="K24" s="17"/>
      <c r="L24" s="17"/>
      <c r="M24" s="17"/>
    </row>
    <row r="25" spans="1:13" x14ac:dyDescent="0.4">
      <c r="A25" s="169" t="s">
        <v>3</v>
      </c>
      <c r="B25" s="169">
        <v>-10000</v>
      </c>
      <c r="C25" s="169">
        <f>$B$1*$B$2</f>
        <v>500</v>
      </c>
      <c r="D25" s="169">
        <f t="shared" ref="D25:E25" si="6">$B$1*$B$2</f>
        <v>500</v>
      </c>
      <c r="E25" s="169">
        <f t="shared" si="6"/>
        <v>500</v>
      </c>
      <c r="F25" s="169">
        <f>$B$1*$B$2</f>
        <v>500</v>
      </c>
      <c r="G25" s="169">
        <f>$B$1*$B$2+B1</f>
        <v>10500</v>
      </c>
      <c r="H25" s="169"/>
      <c r="I25" s="169"/>
      <c r="J25" s="169"/>
      <c r="K25" s="169"/>
      <c r="L25" s="169"/>
      <c r="M25" s="169" t="s">
        <v>4</v>
      </c>
    </row>
    <row r="26" spans="1:13" x14ac:dyDescent="0.4">
      <c r="A26" s="10" t="s">
        <v>0</v>
      </c>
      <c r="B26" s="170">
        <f>B25/((1+$B$2)^B24)</f>
        <v>-10000</v>
      </c>
      <c r="C26" s="170">
        <f>C25/((1+$B$2)^C24)</f>
        <v>476.19047619047615</v>
      </c>
      <c r="D26" s="170">
        <f t="shared" ref="D26" si="7">D25/((1+$B$2)^D24)</f>
        <v>453.51473922902494</v>
      </c>
      <c r="E26" s="170">
        <f t="shared" ref="E26" si="8">E25/((1+$B$2)^E24)</f>
        <v>431.91879926573802</v>
      </c>
      <c r="F26" s="170">
        <f t="shared" ref="F26" si="9">F25/((1+$B$2)^F24)</f>
        <v>411.35123739594098</v>
      </c>
      <c r="G26" s="170">
        <f t="shared" ref="G26" si="10">G25/((1+$B$2)^G24)</f>
        <v>8227.0247479188183</v>
      </c>
      <c r="H26" s="10"/>
      <c r="I26" s="10"/>
      <c r="J26" s="10"/>
      <c r="K26" s="10"/>
      <c r="L26" s="10"/>
      <c r="M26" s="171">
        <f>SUM(C26:L26)</f>
        <v>9999.9999999999982</v>
      </c>
    </row>
    <row r="27" spans="1:13" x14ac:dyDescent="0.4">
      <c r="A27" t="s">
        <v>5</v>
      </c>
      <c r="M27" s="2">
        <f>M26+B25</f>
        <v>0</v>
      </c>
    </row>
  </sheetData>
  <phoneticPr fontId="1"/>
  <conditionalFormatting sqref="F11:G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{255CB048-D8CA-49DE-994D-CDD3090F9088}</x14:id>
        </ext>
      </extLst>
    </cfRule>
  </conditionalFormatting>
  <conditionalFormatting sqref="F16:G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{11790114-9F7F-4EF7-B94A-A507A7260E36}</x14:id>
        </ext>
      </extLst>
    </cfRule>
  </conditionalFormatting>
  <conditionalFormatting sqref="F21:G2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{B5822127-DD90-4FD8-9288-3AFD64F223E7}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5CB048-D8CA-49DE-994D-CDD3090F90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F11:G11</xm:sqref>
        </x14:conditionalFormatting>
        <x14:conditionalFormatting xmlns:xm="http://schemas.microsoft.com/office/excel/2006/main">
          <x14:cfRule type="dataBar" id="{11790114-9F7F-4EF7-B94A-A507A7260E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F16:G16</xm:sqref>
        </x14:conditionalFormatting>
        <x14:conditionalFormatting xmlns:xm="http://schemas.microsoft.com/office/excel/2006/main">
          <x14:cfRule type="dataBar" id="{B5822127-DD90-4FD8-9288-3AFD64F22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F21:G21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2"/>
  <sheetViews>
    <sheetView topLeftCell="A4" workbookViewId="0">
      <selection activeCell="H6" sqref="H6"/>
    </sheetView>
  </sheetViews>
  <sheetFormatPr defaultRowHeight="17.7" x14ac:dyDescent="0.4"/>
  <cols>
    <col min="1" max="1" width="30.109375" customWidth="1"/>
    <col min="2" max="2" width="17.6640625" customWidth="1"/>
    <col min="3" max="3" width="3.44140625" customWidth="1"/>
    <col min="6" max="6" width="3.33203125" customWidth="1"/>
    <col min="7" max="7" width="17.44140625" customWidth="1"/>
    <col min="8" max="8" width="8.6640625" customWidth="1"/>
  </cols>
  <sheetData>
    <row r="1" spans="1:8" x14ac:dyDescent="0.4">
      <c r="A1" s="71" t="s">
        <v>145</v>
      </c>
    </row>
    <row r="2" spans="1:8" x14ac:dyDescent="0.4">
      <c r="A2" t="s">
        <v>146</v>
      </c>
    </row>
    <row r="4" spans="1:8" x14ac:dyDescent="0.4">
      <c r="A4" s="183" t="s">
        <v>147</v>
      </c>
      <c r="B4" s="183"/>
      <c r="D4" s="81" t="s">
        <v>153</v>
      </c>
      <c r="E4" s="81" t="s">
        <v>154</v>
      </c>
      <c r="G4" s="80" t="s">
        <v>155</v>
      </c>
      <c r="H4" s="80">
        <f>D5*E5+D6*E6+D7*E7</f>
        <v>6000</v>
      </c>
    </row>
    <row r="5" spans="1:8" x14ac:dyDescent="0.4">
      <c r="A5" s="80" t="s">
        <v>148</v>
      </c>
      <c r="B5" s="80" t="s">
        <v>149</v>
      </c>
      <c r="D5" s="80">
        <v>0</v>
      </c>
      <c r="E5" s="161">
        <v>0.2</v>
      </c>
      <c r="G5" s="80" t="s">
        <v>157</v>
      </c>
      <c r="H5" s="80">
        <f>E5*(D5-H4)^2+E6*(D6-H4)^2+E7*(D7-H4)^2</f>
        <v>14000000</v>
      </c>
    </row>
    <row r="6" spans="1:8" x14ac:dyDescent="0.4">
      <c r="A6" s="80" t="s">
        <v>150</v>
      </c>
      <c r="B6" s="80" t="s">
        <v>151</v>
      </c>
      <c r="D6" s="80">
        <v>5000</v>
      </c>
      <c r="E6" s="161">
        <v>0.4</v>
      </c>
      <c r="G6" s="80" t="s">
        <v>156</v>
      </c>
      <c r="H6" s="162">
        <f>SQRT(H5)</f>
        <v>3741.6573867739412</v>
      </c>
    </row>
    <row r="7" spans="1:8" x14ac:dyDescent="0.4">
      <c r="A7" s="80" t="s">
        <v>152</v>
      </c>
      <c r="B7" s="80" t="s">
        <v>151</v>
      </c>
      <c r="D7" s="80">
        <v>10000</v>
      </c>
      <c r="E7" s="161">
        <v>0.4</v>
      </c>
    </row>
    <row r="9" spans="1:8" x14ac:dyDescent="0.4">
      <c r="A9" s="183" t="s">
        <v>158</v>
      </c>
      <c r="B9" s="183"/>
      <c r="D9" s="81" t="s">
        <v>153</v>
      </c>
      <c r="E9" s="81" t="s">
        <v>154</v>
      </c>
      <c r="G9" s="80" t="s">
        <v>155</v>
      </c>
      <c r="H9" s="80">
        <f>D10*E10+D11*E11+D12*E12</f>
        <v>4000</v>
      </c>
    </row>
    <row r="10" spans="1:8" x14ac:dyDescent="0.4">
      <c r="A10" s="80" t="s">
        <v>148</v>
      </c>
      <c r="B10" s="80" t="s">
        <v>151</v>
      </c>
      <c r="D10" s="80">
        <v>0</v>
      </c>
      <c r="E10" s="161">
        <v>0.4</v>
      </c>
      <c r="G10" s="80" t="s">
        <v>157</v>
      </c>
      <c r="H10" s="80">
        <f>E10*(D10-H9)^2+E11*(D11-H9)^2+E12*(D12-H9)^2</f>
        <v>14000000</v>
      </c>
    </row>
    <row r="11" spans="1:8" x14ac:dyDescent="0.4">
      <c r="A11" s="80" t="s">
        <v>150</v>
      </c>
      <c r="B11" s="80" t="s">
        <v>151</v>
      </c>
      <c r="D11" s="80">
        <v>5000</v>
      </c>
      <c r="E11" s="161">
        <v>0.4</v>
      </c>
      <c r="G11" s="80" t="s">
        <v>156</v>
      </c>
      <c r="H11" s="162">
        <f>SQRT(H10)</f>
        <v>3741.6573867739412</v>
      </c>
    </row>
    <row r="12" spans="1:8" x14ac:dyDescent="0.4">
      <c r="A12" s="80" t="s">
        <v>152</v>
      </c>
      <c r="B12" s="80" t="s">
        <v>149</v>
      </c>
      <c r="D12" s="80">
        <v>10000</v>
      </c>
      <c r="E12" s="161">
        <v>0.2</v>
      </c>
    </row>
    <row r="14" spans="1:8" x14ac:dyDescent="0.4">
      <c r="A14" s="183" t="s">
        <v>159</v>
      </c>
      <c r="B14" s="183"/>
      <c r="D14" s="81" t="s">
        <v>153</v>
      </c>
      <c r="E14" s="81" t="s">
        <v>154</v>
      </c>
      <c r="G14" s="80" t="s">
        <v>155</v>
      </c>
      <c r="H14" s="80">
        <f>D15*E15+D16*E16+D17*E17</f>
        <v>7000</v>
      </c>
    </row>
    <row r="15" spans="1:8" x14ac:dyDescent="0.4">
      <c r="A15" s="80" t="s">
        <v>148</v>
      </c>
      <c r="B15" s="80" t="s">
        <v>149</v>
      </c>
      <c r="D15" s="80">
        <v>0</v>
      </c>
      <c r="E15" s="161">
        <v>0.2</v>
      </c>
      <c r="G15" s="80" t="s">
        <v>157</v>
      </c>
      <c r="H15" s="80">
        <f>E15*(D15-H14)^2+E16*(D16-H14)^2+E17*(D17-H14)^2</f>
        <v>16000000</v>
      </c>
    </row>
    <row r="16" spans="1:8" x14ac:dyDescent="0.4">
      <c r="A16" s="80" t="s">
        <v>150</v>
      </c>
      <c r="B16" s="80" t="s">
        <v>149</v>
      </c>
      <c r="D16" s="80">
        <v>5000</v>
      </c>
      <c r="E16" s="161">
        <v>0.2</v>
      </c>
      <c r="G16" s="80" t="s">
        <v>156</v>
      </c>
      <c r="H16" s="162">
        <f>SQRT(H15)</f>
        <v>4000</v>
      </c>
    </row>
    <row r="17" spans="1:8" x14ac:dyDescent="0.4">
      <c r="A17" s="80" t="s">
        <v>152</v>
      </c>
      <c r="B17" s="80" t="s">
        <v>160</v>
      </c>
      <c r="D17" s="80">
        <v>10000</v>
      </c>
      <c r="E17" s="161">
        <v>0.6</v>
      </c>
    </row>
    <row r="19" spans="1:8" x14ac:dyDescent="0.4">
      <c r="A19" s="183" t="s">
        <v>161</v>
      </c>
      <c r="B19" s="183"/>
      <c r="D19" s="81" t="s">
        <v>153</v>
      </c>
      <c r="E19" s="81" t="s">
        <v>154</v>
      </c>
      <c r="G19" s="80" t="s">
        <v>155</v>
      </c>
      <c r="H19" s="80">
        <f>D20*E20+D21*E21+D22*E22</f>
        <v>8000</v>
      </c>
    </row>
    <row r="20" spans="1:8" x14ac:dyDescent="0.4">
      <c r="A20" s="80" t="s">
        <v>148</v>
      </c>
      <c r="B20" s="80" t="s">
        <v>162</v>
      </c>
      <c r="D20" s="80">
        <v>0</v>
      </c>
      <c r="E20" s="161">
        <v>0.1</v>
      </c>
      <c r="G20" s="80" t="s">
        <v>157</v>
      </c>
      <c r="H20" s="80">
        <f>E20*(D20-H19)^2+E21*(D21-H19)^2+E22*(D22-H19)^2</f>
        <v>11000000</v>
      </c>
    </row>
    <row r="21" spans="1:8" x14ac:dyDescent="0.4">
      <c r="A21" s="80" t="s">
        <v>150</v>
      </c>
      <c r="B21" s="80" t="s">
        <v>163</v>
      </c>
      <c r="D21" s="80">
        <v>5000</v>
      </c>
      <c r="E21" s="161">
        <v>0.2</v>
      </c>
      <c r="G21" s="80" t="s">
        <v>156</v>
      </c>
      <c r="H21" s="162">
        <f>SQRT(H20)</f>
        <v>3316.6247903553999</v>
      </c>
    </row>
    <row r="22" spans="1:8" x14ac:dyDescent="0.4">
      <c r="A22" s="80" t="s">
        <v>152</v>
      </c>
      <c r="B22" s="80" t="s">
        <v>164</v>
      </c>
      <c r="D22" s="80">
        <v>10000</v>
      </c>
      <c r="E22" s="161">
        <v>0.7</v>
      </c>
    </row>
  </sheetData>
  <mergeCells count="4">
    <mergeCell ref="A4:B4"/>
    <mergeCell ref="A9:B9"/>
    <mergeCell ref="A14:B14"/>
    <mergeCell ref="A19:B1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3"/>
  <sheetViews>
    <sheetView workbookViewId="0"/>
  </sheetViews>
  <sheetFormatPr defaultColWidth="8.6640625" defaultRowHeight="18.55" customHeight="1" x14ac:dyDescent="0.4"/>
  <cols>
    <col min="1" max="1" width="14.5546875" style="11" customWidth="1"/>
    <col min="2" max="2" width="10.6640625" style="11" bestFit="1" customWidth="1"/>
    <col min="3" max="3" width="10.21875" style="11" bestFit="1" customWidth="1"/>
    <col min="4" max="5" width="10.109375" style="11" bestFit="1" customWidth="1"/>
    <col min="6" max="16384" width="8.6640625" style="11"/>
  </cols>
  <sheetData>
    <row r="1" spans="1:7" ht="18.55" customHeight="1" x14ac:dyDescent="0.4">
      <c r="A1" s="71" t="s">
        <v>181</v>
      </c>
    </row>
    <row r="2" spans="1:7" ht="18.55" customHeight="1" x14ac:dyDescent="0.4">
      <c r="A2" s="71"/>
    </row>
    <row r="3" spans="1:7" ht="27" customHeight="1" x14ac:dyDescent="0.4">
      <c r="A3" s="182" t="s">
        <v>180</v>
      </c>
      <c r="B3" s="182"/>
      <c r="C3" s="182"/>
      <c r="D3" s="182"/>
      <c r="E3" s="182"/>
      <c r="F3" s="182"/>
      <c r="G3" s="182"/>
    </row>
    <row r="4" spans="1:7" ht="27" customHeight="1" x14ac:dyDescent="0.4">
      <c r="A4" s="182"/>
      <c r="B4" s="182"/>
      <c r="C4" s="182"/>
      <c r="D4" s="182"/>
      <c r="E4" s="182"/>
      <c r="F4" s="182"/>
      <c r="G4" s="182"/>
    </row>
    <row r="5" spans="1:7" ht="18.55" customHeight="1" thickBot="1" x14ac:dyDescent="0.45"/>
    <row r="6" spans="1:7" ht="18.55" customHeight="1" thickBot="1" x14ac:dyDescent="0.45">
      <c r="A6" s="184" t="s">
        <v>182</v>
      </c>
      <c r="B6" s="184"/>
      <c r="C6" s="184"/>
      <c r="D6" s="184"/>
      <c r="E6" s="184"/>
      <c r="F6" s="184"/>
      <c r="G6" s="184"/>
    </row>
    <row r="7" spans="1:7" ht="18.55" customHeight="1" x14ac:dyDescent="0.4">
      <c r="A7" s="185"/>
      <c r="B7" s="98">
        <v>36526</v>
      </c>
      <c r="C7" s="98">
        <v>36891</v>
      </c>
      <c r="D7" s="185"/>
      <c r="E7" s="185"/>
      <c r="F7" s="185"/>
      <c r="G7" s="185"/>
    </row>
    <row r="8" spans="1:7" ht="18.55" customHeight="1" x14ac:dyDescent="0.4">
      <c r="A8" s="186"/>
      <c r="B8" s="99" t="s">
        <v>183</v>
      </c>
      <c r="C8" s="99" t="s">
        <v>7</v>
      </c>
      <c r="D8" s="186"/>
      <c r="E8" s="186"/>
      <c r="F8" s="186"/>
      <c r="G8" s="186"/>
    </row>
    <row r="9" spans="1:7" ht="18.55" customHeight="1" x14ac:dyDescent="0.4">
      <c r="A9" s="100"/>
      <c r="B9" s="99" t="s">
        <v>184</v>
      </c>
      <c r="C9" s="99" t="s">
        <v>185</v>
      </c>
      <c r="D9" s="99"/>
      <c r="E9" s="99"/>
      <c r="F9" s="99"/>
      <c r="G9" s="99"/>
    </row>
    <row r="10" spans="1:7" ht="18.55" customHeight="1" x14ac:dyDescent="0.4">
      <c r="A10" s="100" t="s">
        <v>46</v>
      </c>
      <c r="B10" s="101">
        <v>-10000</v>
      </c>
      <c r="C10" s="101">
        <v>10500</v>
      </c>
      <c r="D10" s="101"/>
      <c r="E10" s="101"/>
      <c r="F10" s="101"/>
      <c r="G10" s="101"/>
    </row>
    <row r="11" spans="1:7" ht="18.55" customHeight="1" thickBot="1" x14ac:dyDescent="0.45">
      <c r="A11" s="102" t="s">
        <v>21</v>
      </c>
      <c r="B11" s="103">
        <f>C10/1.05^1</f>
        <v>10000</v>
      </c>
      <c r="C11" s="101"/>
      <c r="D11" s="101"/>
      <c r="E11" s="101"/>
      <c r="F11" s="101"/>
    </row>
    <row r="12" spans="1:7" ht="18.55" customHeight="1" thickBot="1" x14ac:dyDescent="0.45">
      <c r="A12" s="104" t="s">
        <v>19</v>
      </c>
      <c r="B12" s="105">
        <f>B10+B11</f>
        <v>0</v>
      </c>
      <c r="C12" s="101"/>
      <c r="D12" s="101"/>
      <c r="E12" s="101"/>
      <c r="F12" s="101"/>
      <c r="G12" s="101"/>
    </row>
    <row r="13" spans="1:7" ht="18.55" customHeight="1" thickTop="1" x14ac:dyDescent="0.4">
      <c r="A13" s="100"/>
      <c r="B13" s="101"/>
      <c r="C13" s="101"/>
      <c r="D13" s="101"/>
      <c r="E13" s="101"/>
      <c r="F13" s="101"/>
      <c r="G13" s="101"/>
    </row>
    <row r="14" spans="1:7" ht="18.55" customHeight="1" thickBot="1" x14ac:dyDescent="0.45">
      <c r="A14" s="101"/>
      <c r="B14" s="101"/>
      <c r="C14" s="101"/>
      <c r="D14" s="101"/>
      <c r="E14" s="101"/>
      <c r="F14" s="100"/>
      <c r="G14" s="101"/>
    </row>
    <row r="15" spans="1:7" ht="18.55" customHeight="1" thickBot="1" x14ac:dyDescent="0.45">
      <c r="A15" s="184" t="s">
        <v>186</v>
      </c>
      <c r="B15" s="184"/>
      <c r="C15" s="184"/>
      <c r="D15" s="184"/>
      <c r="E15" s="184"/>
      <c r="F15" s="184"/>
      <c r="G15" s="184"/>
    </row>
    <row r="16" spans="1:7" ht="18.55" customHeight="1" x14ac:dyDescent="0.4">
      <c r="A16" s="185"/>
      <c r="B16" s="98">
        <v>36526</v>
      </c>
      <c r="C16" s="98">
        <v>36891</v>
      </c>
      <c r="D16" s="98">
        <v>37256</v>
      </c>
      <c r="E16" s="185"/>
      <c r="F16" s="185"/>
      <c r="G16" s="185"/>
    </row>
    <row r="17" spans="1:7" ht="18.55" customHeight="1" x14ac:dyDescent="0.4">
      <c r="A17" s="186"/>
      <c r="B17" s="99" t="s">
        <v>183</v>
      </c>
      <c r="C17" s="99" t="s">
        <v>7</v>
      </c>
      <c r="D17" s="99" t="s">
        <v>8</v>
      </c>
      <c r="E17" s="186"/>
      <c r="F17" s="186"/>
      <c r="G17" s="186"/>
    </row>
    <row r="18" spans="1:7" ht="18.55" customHeight="1" x14ac:dyDescent="0.4">
      <c r="A18" s="100"/>
      <c r="B18" s="99" t="s">
        <v>184</v>
      </c>
      <c r="C18" s="99" t="s">
        <v>185</v>
      </c>
      <c r="D18" s="99" t="s">
        <v>187</v>
      </c>
      <c r="E18" s="99"/>
      <c r="F18" s="99"/>
      <c r="G18" s="99"/>
    </row>
    <row r="19" spans="1:7" ht="18.55" customHeight="1" x14ac:dyDescent="0.4">
      <c r="A19" s="100" t="s">
        <v>46</v>
      </c>
      <c r="B19" s="101">
        <v>-10000</v>
      </c>
      <c r="C19" s="101">
        <v>500</v>
      </c>
      <c r="D19" s="101">
        <v>10500</v>
      </c>
      <c r="E19" s="100"/>
      <c r="F19" s="100"/>
      <c r="G19" s="100"/>
    </row>
    <row r="20" spans="1:7" ht="18.55" customHeight="1" x14ac:dyDescent="0.4">
      <c r="A20" s="100" t="s">
        <v>21</v>
      </c>
      <c r="B20" s="110">
        <f>C19/1.05^1</f>
        <v>476.19047619047615</v>
      </c>
      <c r="C20" s="106"/>
      <c r="D20" s="101"/>
      <c r="E20" s="101"/>
      <c r="F20" s="100"/>
      <c r="G20" s="101"/>
    </row>
    <row r="21" spans="1:7" ht="18.55" customHeight="1" thickBot="1" x14ac:dyDescent="0.45">
      <c r="A21" s="100" t="s">
        <v>21</v>
      </c>
      <c r="B21" s="109">
        <f>D19/1.05^2</f>
        <v>9523.8095238095229</v>
      </c>
      <c r="C21" s="101"/>
      <c r="D21" s="101"/>
      <c r="E21" s="101"/>
      <c r="F21" s="100"/>
      <c r="G21" s="101"/>
    </row>
    <row r="22" spans="1:7" ht="18.55" customHeight="1" thickBot="1" x14ac:dyDescent="0.45">
      <c r="A22" s="107" t="s">
        <v>19</v>
      </c>
      <c r="B22" s="108">
        <f>SUM(B19:B21)</f>
        <v>0</v>
      </c>
      <c r="C22" s="101"/>
      <c r="D22" s="101"/>
      <c r="E22" s="101"/>
      <c r="F22" s="100"/>
      <c r="G22" s="101"/>
    </row>
    <row r="23" spans="1:7" ht="18.55" customHeight="1" thickTop="1" thickBot="1" x14ac:dyDescent="0.45">
      <c r="A23" s="103"/>
      <c r="B23" s="103"/>
      <c r="C23" s="103"/>
      <c r="D23" s="103"/>
      <c r="E23" s="103"/>
      <c r="F23" s="102"/>
      <c r="G23" s="103"/>
    </row>
    <row r="24" spans="1:7" ht="18.55" customHeight="1" thickBot="1" x14ac:dyDescent="0.45">
      <c r="A24" s="184" t="s">
        <v>188</v>
      </c>
      <c r="B24" s="184"/>
      <c r="C24" s="184"/>
      <c r="D24" s="184"/>
      <c r="E24" s="184"/>
      <c r="F24" s="184"/>
      <c r="G24" s="184"/>
    </row>
    <row r="25" spans="1:7" ht="18.55" customHeight="1" x14ac:dyDescent="0.4">
      <c r="A25" s="185"/>
      <c r="B25" s="98">
        <v>36526</v>
      </c>
      <c r="C25" s="98">
        <v>36891</v>
      </c>
      <c r="D25" s="98">
        <v>37256</v>
      </c>
      <c r="E25" s="98">
        <v>37621</v>
      </c>
      <c r="F25" s="185"/>
      <c r="G25" s="185"/>
    </row>
    <row r="26" spans="1:7" ht="18.55" customHeight="1" x14ac:dyDescent="0.4">
      <c r="A26" s="186"/>
      <c r="B26" s="99" t="s">
        <v>183</v>
      </c>
      <c r="C26" s="99" t="s">
        <v>7</v>
      </c>
      <c r="D26" s="99" t="s">
        <v>8</v>
      </c>
      <c r="E26" s="99" t="s">
        <v>9</v>
      </c>
      <c r="F26" s="186"/>
      <c r="G26" s="186"/>
    </row>
    <row r="27" spans="1:7" ht="18.55" customHeight="1" x14ac:dyDescent="0.4">
      <c r="A27" s="100"/>
      <c r="B27" s="99" t="s">
        <v>184</v>
      </c>
      <c r="C27" s="99" t="s">
        <v>185</v>
      </c>
      <c r="D27" s="99" t="s">
        <v>187</v>
      </c>
      <c r="E27" s="99" t="s">
        <v>189</v>
      </c>
      <c r="F27" s="99"/>
      <c r="G27" s="99"/>
    </row>
    <row r="28" spans="1:7" ht="18.55" customHeight="1" x14ac:dyDescent="0.4">
      <c r="A28" s="100" t="s">
        <v>46</v>
      </c>
      <c r="B28" s="101">
        <v>-10000</v>
      </c>
      <c r="C28" s="101">
        <v>500</v>
      </c>
      <c r="D28" s="101">
        <v>500</v>
      </c>
      <c r="E28" s="101">
        <v>10500</v>
      </c>
      <c r="F28" s="100"/>
      <c r="G28" s="100"/>
    </row>
    <row r="29" spans="1:7" ht="18.55" customHeight="1" x14ac:dyDescent="0.4">
      <c r="A29" s="100" t="s">
        <v>21</v>
      </c>
      <c r="B29" s="110">
        <f>C28/1.05^1</f>
        <v>476.19047619047615</v>
      </c>
      <c r="C29" s="101"/>
      <c r="D29" s="101"/>
      <c r="E29" s="101"/>
      <c r="F29" s="100"/>
      <c r="G29" s="101"/>
    </row>
    <row r="30" spans="1:7" ht="18.55" customHeight="1" x14ac:dyDescent="0.4">
      <c r="A30" s="100" t="s">
        <v>21</v>
      </c>
      <c r="B30" s="110">
        <f>D28/1.05^2</f>
        <v>453.51473922902494</v>
      </c>
      <c r="C30" s="101"/>
      <c r="D30" s="106"/>
      <c r="E30" s="101"/>
      <c r="F30" s="100"/>
      <c r="G30" s="101"/>
    </row>
    <row r="31" spans="1:7" ht="18.55" customHeight="1" thickBot="1" x14ac:dyDescent="0.45">
      <c r="A31" s="100" t="s">
        <v>21</v>
      </c>
      <c r="B31" s="110">
        <f>E28/1.05^3</f>
        <v>9070.2947845804974</v>
      </c>
      <c r="C31" s="106"/>
      <c r="D31" s="101"/>
      <c r="E31" s="101"/>
      <c r="F31" s="100"/>
      <c r="G31" s="101"/>
    </row>
    <row r="32" spans="1:7" ht="18.55" customHeight="1" thickBot="1" x14ac:dyDescent="0.45">
      <c r="A32" s="107" t="s">
        <v>19</v>
      </c>
      <c r="B32" s="108">
        <f>SUM(B28:B31)</f>
        <v>0</v>
      </c>
      <c r="C32" s="101"/>
      <c r="D32" s="101"/>
      <c r="E32" s="101"/>
      <c r="F32" s="100"/>
      <c r="G32" s="101"/>
    </row>
    <row r="33" spans="1:7" ht="18.55" customHeight="1" thickTop="1" x14ac:dyDescent="0.4">
      <c r="A33" s="101"/>
      <c r="B33" s="101"/>
      <c r="C33" s="101"/>
      <c r="D33" s="101"/>
      <c r="E33" s="101"/>
      <c r="F33" s="100"/>
      <c r="G33" s="101"/>
    </row>
  </sheetData>
  <mergeCells count="16">
    <mergeCell ref="A24:G24"/>
    <mergeCell ref="A25:A26"/>
    <mergeCell ref="F25:F26"/>
    <mergeCell ref="G25:G26"/>
    <mergeCell ref="A15:G15"/>
    <mergeCell ref="A16:A17"/>
    <mergeCell ref="E16:E17"/>
    <mergeCell ref="F16:F17"/>
    <mergeCell ref="G16:G17"/>
    <mergeCell ref="A3:G4"/>
    <mergeCell ref="A6:G6"/>
    <mergeCell ref="A7:A8"/>
    <mergeCell ref="D7:D8"/>
    <mergeCell ref="E7:E8"/>
    <mergeCell ref="F7:F8"/>
    <mergeCell ref="G7:G8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8"/>
  <sheetViews>
    <sheetView topLeftCell="A46" workbookViewId="0">
      <selection activeCell="A58" sqref="A58"/>
    </sheetView>
  </sheetViews>
  <sheetFormatPr defaultColWidth="8.6640625" defaultRowHeight="17.5" customHeight="1" x14ac:dyDescent="0.4"/>
  <cols>
    <col min="1" max="1" width="32.109375" style="11" customWidth="1"/>
    <col min="2" max="2" width="11.6640625" style="11" bestFit="1" customWidth="1"/>
    <col min="3" max="5" width="8.6640625" style="11"/>
    <col min="6" max="6" width="18.6640625" style="11" customWidth="1"/>
    <col min="7" max="16384" width="8.6640625" style="11"/>
  </cols>
  <sheetData>
    <row r="1" spans="1:7" ht="17.5" customHeight="1" x14ac:dyDescent="0.4">
      <c r="A1" s="71" t="s">
        <v>190</v>
      </c>
    </row>
    <row r="2" spans="1:7" ht="55.05" customHeight="1" x14ac:dyDescent="0.4">
      <c r="A2" s="187" t="s">
        <v>305</v>
      </c>
      <c r="B2" s="187"/>
      <c r="C2" s="187"/>
      <c r="D2" s="187"/>
      <c r="E2" s="187"/>
      <c r="F2" s="187"/>
    </row>
    <row r="4" spans="1:7" ht="17.5" customHeight="1" thickBot="1" x14ac:dyDescent="0.45">
      <c r="A4" s="189" t="s">
        <v>202</v>
      </c>
      <c r="B4" s="189"/>
      <c r="C4" s="189"/>
      <c r="D4" s="189"/>
      <c r="E4" s="189"/>
      <c r="F4" s="189"/>
    </row>
    <row r="5" spans="1:7" ht="17.5" customHeight="1" thickBot="1" x14ac:dyDescent="0.45">
      <c r="A5" s="111"/>
      <c r="B5" s="112" t="s">
        <v>198</v>
      </c>
      <c r="C5" s="112" t="s">
        <v>199</v>
      </c>
      <c r="D5" s="112" t="s">
        <v>40</v>
      </c>
      <c r="E5" s="112" t="s">
        <v>200</v>
      </c>
      <c r="F5" s="112" t="s">
        <v>191</v>
      </c>
    </row>
    <row r="6" spans="1:7" ht="17.5" customHeight="1" x14ac:dyDescent="0.4">
      <c r="A6" s="113" t="s">
        <v>192</v>
      </c>
      <c r="B6" s="114"/>
      <c r="C6" s="114"/>
      <c r="D6" s="114"/>
      <c r="E6" s="114"/>
      <c r="F6" s="114"/>
    </row>
    <row r="7" spans="1:7" ht="17.5" customHeight="1" x14ac:dyDescent="0.4">
      <c r="A7" s="115" t="s">
        <v>196</v>
      </c>
      <c r="B7" s="116">
        <v>70</v>
      </c>
      <c r="C7" s="116">
        <v>70</v>
      </c>
      <c r="D7" s="116" t="s">
        <v>40</v>
      </c>
      <c r="E7" s="116">
        <v>70</v>
      </c>
      <c r="F7" s="116"/>
    </row>
    <row r="8" spans="1:7" ht="17.5" customHeight="1" thickBot="1" x14ac:dyDescent="0.45">
      <c r="A8" s="117" t="s">
        <v>21</v>
      </c>
      <c r="B8" s="118">
        <f>B7/1.1^1</f>
        <v>63.636363636363633</v>
      </c>
      <c r="C8" s="118">
        <f>C7/1.1^2</f>
        <v>57.851239669421481</v>
      </c>
      <c r="D8" s="119" t="s">
        <v>40</v>
      </c>
      <c r="E8" s="119">
        <v>0</v>
      </c>
      <c r="F8" s="120">
        <f>B7/0.1</f>
        <v>700</v>
      </c>
    </row>
    <row r="9" spans="1:7" ht="17.5" customHeight="1" x14ac:dyDescent="0.4">
      <c r="A9" s="121" t="s">
        <v>193</v>
      </c>
      <c r="B9" s="114"/>
      <c r="C9" s="114"/>
      <c r="D9" s="116"/>
      <c r="E9" s="114"/>
      <c r="F9" s="114"/>
    </row>
    <row r="10" spans="1:7" ht="17.5" customHeight="1" x14ac:dyDescent="0.4">
      <c r="A10" s="115" t="s">
        <v>194</v>
      </c>
      <c r="B10" s="116">
        <v>5</v>
      </c>
      <c r="C10" s="116">
        <v>5</v>
      </c>
      <c r="D10" s="116" t="s">
        <v>40</v>
      </c>
      <c r="E10" s="116">
        <v>5</v>
      </c>
      <c r="F10" s="116"/>
    </row>
    <row r="11" spans="1:7" ht="17.5" customHeight="1" thickBot="1" x14ac:dyDescent="0.45">
      <c r="A11" s="117" t="s">
        <v>21</v>
      </c>
      <c r="B11" s="118">
        <f>B10/1.1^1</f>
        <v>4.545454545454545</v>
      </c>
      <c r="C11" s="118">
        <f>C10/1.1^2</f>
        <v>4.1322314049586772</v>
      </c>
      <c r="D11" s="119" t="s">
        <v>40</v>
      </c>
      <c r="E11" s="119">
        <v>0</v>
      </c>
      <c r="F11" s="120">
        <f>B10/0.05</f>
        <v>100</v>
      </c>
    </row>
    <row r="12" spans="1:7" ht="17.5" customHeight="1" x14ac:dyDescent="0.4">
      <c r="A12" s="121" t="s">
        <v>195</v>
      </c>
      <c r="B12" s="116"/>
      <c r="C12" s="116"/>
      <c r="D12" s="116"/>
      <c r="E12" s="116"/>
      <c r="F12" s="116"/>
    </row>
    <row r="13" spans="1:7" ht="17.5" customHeight="1" x14ac:dyDescent="0.4">
      <c r="A13" s="115" t="s">
        <v>197</v>
      </c>
      <c r="B13" s="116">
        <v>65</v>
      </c>
      <c r="C13" s="116">
        <v>65</v>
      </c>
      <c r="D13" s="116" t="s">
        <v>40</v>
      </c>
      <c r="E13" s="116">
        <v>65</v>
      </c>
      <c r="F13" s="116"/>
    </row>
    <row r="14" spans="1:7" ht="17.5" customHeight="1" thickBot="1" x14ac:dyDescent="0.45">
      <c r="A14" s="117" t="s">
        <v>21</v>
      </c>
      <c r="B14" s="118">
        <f>B13/1.1^1</f>
        <v>59.090909090909086</v>
      </c>
      <c r="C14" s="118">
        <f>C13/1.1^2</f>
        <v>53.719008264462801</v>
      </c>
      <c r="D14" s="119" t="s">
        <v>40</v>
      </c>
      <c r="E14" s="119">
        <v>0</v>
      </c>
      <c r="F14" s="120">
        <f>F8-F11</f>
        <v>600</v>
      </c>
      <c r="G14" s="11" t="str">
        <f>"← " &amp; F8 &amp; "ー" &amp; F11 &amp; " の結果である。"</f>
        <v>← 700ー100 の結果である。</v>
      </c>
    </row>
    <row r="16" spans="1:7" ht="17.5" customHeight="1" x14ac:dyDescent="0.4">
      <c r="A16" s="115" t="s">
        <v>201</v>
      </c>
    </row>
    <row r="17" spans="1:6" ht="17.5" customHeight="1" x14ac:dyDescent="0.4">
      <c r="A17" s="115" t="str">
        <f>"　　"&amp;F14&amp;"="&amp;B13&amp;"／ｘ"</f>
        <v>　　600=65／ｘ</v>
      </c>
    </row>
    <row r="18" spans="1:6" ht="17.5" customHeight="1" x14ac:dyDescent="0.4">
      <c r="A18" s="115" t="str">
        <f>"　　ｘ＝"&amp;F14&amp;"／"&amp;B13</f>
        <v>　　ｘ＝600／65</v>
      </c>
    </row>
    <row r="19" spans="1:6" ht="17.5" customHeight="1" x14ac:dyDescent="0.4">
      <c r="A19" s="115" t="str">
        <f>"　　ｘ＝"&amp;TEXT(B13/F14,"0.000")</f>
        <v>　　ｘ＝0.108</v>
      </c>
    </row>
    <row r="20" spans="1:6" ht="17.5" customHeight="1" x14ac:dyDescent="0.4">
      <c r="A20" s="115" t="str">
        <f>"　　株主資本コストは"&amp;TEXT(B13/F14,"0.0%")&amp;"である。"</f>
        <v>　　株主資本コストは10.8%である。</v>
      </c>
    </row>
    <row r="21" spans="1:6" ht="17.5" customHeight="1" x14ac:dyDescent="0.4">
      <c r="A21" s="115"/>
    </row>
    <row r="22" spans="1:6" ht="17.5" customHeight="1" x14ac:dyDescent="0.4">
      <c r="A22" s="115"/>
    </row>
    <row r="23" spans="1:6" ht="17.5" customHeight="1" thickBot="1" x14ac:dyDescent="0.45">
      <c r="A23" s="188" t="s">
        <v>203</v>
      </c>
      <c r="B23" s="188"/>
      <c r="C23" s="188"/>
      <c r="D23" s="188"/>
      <c r="E23" s="188"/>
      <c r="F23" s="188"/>
    </row>
    <row r="24" spans="1:6" ht="17.5" customHeight="1" thickBot="1" x14ac:dyDescent="0.45">
      <c r="A24" s="111"/>
      <c r="B24" s="112" t="s">
        <v>198</v>
      </c>
      <c r="C24" s="112" t="s">
        <v>199</v>
      </c>
      <c r="D24" s="112" t="s">
        <v>40</v>
      </c>
      <c r="E24" s="112" t="s">
        <v>200</v>
      </c>
      <c r="F24" s="112" t="s">
        <v>191</v>
      </c>
    </row>
    <row r="25" spans="1:6" ht="17.5" customHeight="1" x14ac:dyDescent="0.4">
      <c r="A25" s="113" t="s">
        <v>192</v>
      </c>
      <c r="B25" s="114"/>
      <c r="C25" s="114"/>
      <c r="D25" s="114"/>
      <c r="E25" s="114"/>
      <c r="F25" s="114"/>
    </row>
    <row r="26" spans="1:6" ht="17.5" customHeight="1" x14ac:dyDescent="0.4">
      <c r="A26" s="115" t="s">
        <v>196</v>
      </c>
      <c r="B26" s="116">
        <v>70</v>
      </c>
      <c r="C26" s="116">
        <v>70</v>
      </c>
      <c r="D26" s="116" t="s">
        <v>40</v>
      </c>
      <c r="E26" s="116">
        <v>70</v>
      </c>
      <c r="F26" s="116"/>
    </row>
    <row r="27" spans="1:6" ht="17.5" customHeight="1" thickBot="1" x14ac:dyDescent="0.45">
      <c r="A27" s="117" t="s">
        <v>21</v>
      </c>
      <c r="B27" s="118">
        <f>B26/1.1^1</f>
        <v>63.636363636363633</v>
      </c>
      <c r="C27" s="118">
        <f>C26/1.1^2</f>
        <v>57.851239669421481</v>
      </c>
      <c r="D27" s="119" t="s">
        <v>40</v>
      </c>
      <c r="E27" s="119">
        <v>0</v>
      </c>
      <c r="F27" s="120">
        <f>B26/0.1</f>
        <v>700</v>
      </c>
    </row>
    <row r="28" spans="1:6" ht="17.5" customHeight="1" x14ac:dyDescent="0.4">
      <c r="A28" s="121" t="s">
        <v>193</v>
      </c>
      <c r="B28" s="114"/>
      <c r="C28" s="114"/>
      <c r="D28" s="116"/>
      <c r="E28" s="114"/>
      <c r="F28" s="114"/>
    </row>
    <row r="29" spans="1:6" ht="17.5" customHeight="1" x14ac:dyDescent="0.4">
      <c r="A29" s="115" t="s">
        <v>194</v>
      </c>
      <c r="B29" s="116">
        <v>10</v>
      </c>
      <c r="C29" s="116">
        <v>10</v>
      </c>
      <c r="D29" s="116" t="s">
        <v>40</v>
      </c>
      <c r="E29" s="116">
        <v>10</v>
      </c>
      <c r="F29" s="116"/>
    </row>
    <row r="30" spans="1:6" ht="17.5" customHeight="1" thickBot="1" x14ac:dyDescent="0.45">
      <c r="A30" s="117" t="s">
        <v>21</v>
      </c>
      <c r="B30" s="118">
        <f>B29/1.1^1</f>
        <v>9.0909090909090899</v>
      </c>
      <c r="C30" s="118">
        <f>C29/1.1^2</f>
        <v>8.2644628099173545</v>
      </c>
      <c r="D30" s="119" t="s">
        <v>40</v>
      </c>
      <c r="E30" s="119">
        <v>0</v>
      </c>
      <c r="F30" s="120">
        <f>B29/0.05</f>
        <v>200</v>
      </c>
    </row>
    <row r="31" spans="1:6" ht="17.5" customHeight="1" x14ac:dyDescent="0.4">
      <c r="A31" s="121" t="s">
        <v>195</v>
      </c>
      <c r="B31" s="116"/>
      <c r="C31" s="116"/>
      <c r="D31" s="116"/>
      <c r="E31" s="116"/>
      <c r="F31" s="116"/>
    </row>
    <row r="32" spans="1:6" ht="17.5" customHeight="1" x14ac:dyDescent="0.4">
      <c r="A32" s="115" t="s">
        <v>197</v>
      </c>
      <c r="B32" s="116">
        <v>60</v>
      </c>
      <c r="C32" s="116">
        <v>60</v>
      </c>
      <c r="D32" s="116" t="s">
        <v>40</v>
      </c>
      <c r="E32" s="116">
        <v>60</v>
      </c>
      <c r="F32" s="116"/>
    </row>
    <row r="33" spans="1:7" ht="17.5" customHeight="1" thickBot="1" x14ac:dyDescent="0.45">
      <c r="A33" s="117" t="s">
        <v>21</v>
      </c>
      <c r="B33" s="118">
        <f>B32/1.1^1</f>
        <v>54.54545454545454</v>
      </c>
      <c r="C33" s="118">
        <f>C32/1.1^2</f>
        <v>49.586776859504127</v>
      </c>
      <c r="D33" s="119" t="s">
        <v>40</v>
      </c>
      <c r="E33" s="119">
        <v>0</v>
      </c>
      <c r="F33" s="120">
        <f>F27-F30</f>
        <v>500</v>
      </c>
      <c r="G33" s="11" t="str">
        <f>"← " &amp; F27 &amp; "ー" &amp; F30 &amp; " の結果である。"</f>
        <v>← 700ー200 の結果である。</v>
      </c>
    </row>
    <row r="35" spans="1:7" ht="17.5" customHeight="1" x14ac:dyDescent="0.4">
      <c r="A35" s="115" t="s">
        <v>201</v>
      </c>
    </row>
    <row r="36" spans="1:7" ht="17.5" customHeight="1" x14ac:dyDescent="0.4">
      <c r="A36" s="115" t="str">
        <f>"　　"&amp;F33&amp;"="&amp;B32&amp;"／ｘ"</f>
        <v>　　500=60／ｘ</v>
      </c>
    </row>
    <row r="37" spans="1:7" ht="17.5" customHeight="1" x14ac:dyDescent="0.4">
      <c r="A37" s="115" t="str">
        <f>"　　ｘ＝"&amp;F33&amp;"／"&amp;B32</f>
        <v>　　ｘ＝500／60</v>
      </c>
    </row>
    <row r="38" spans="1:7" ht="17.5" customHeight="1" x14ac:dyDescent="0.4">
      <c r="A38" s="115" t="str">
        <f>"　　ｘ＝"&amp;TEXT(B32/F33,"0.000")</f>
        <v>　　ｘ＝0.120</v>
      </c>
    </row>
    <row r="39" spans="1:7" ht="17.5" customHeight="1" x14ac:dyDescent="0.4">
      <c r="A39" s="115" t="str">
        <f>"　　株主資本コストは"&amp;TEXT(B32/F33,"0.0%")&amp;"である。"</f>
        <v>　　株主資本コストは12.0%である。</v>
      </c>
    </row>
    <row r="40" spans="1:7" ht="17.5" customHeight="1" x14ac:dyDescent="0.4">
      <c r="A40" s="115"/>
    </row>
    <row r="41" spans="1:7" ht="17.5" customHeight="1" x14ac:dyDescent="0.4">
      <c r="A41" s="115"/>
    </row>
    <row r="42" spans="1:7" ht="17.5" customHeight="1" thickBot="1" x14ac:dyDescent="0.45">
      <c r="A42" s="188" t="s">
        <v>204</v>
      </c>
      <c r="B42" s="188"/>
      <c r="C42" s="188"/>
      <c r="D42" s="188"/>
      <c r="E42" s="188"/>
      <c r="F42" s="188"/>
    </row>
    <row r="43" spans="1:7" ht="17.5" customHeight="1" thickBot="1" x14ac:dyDescent="0.45">
      <c r="A43" s="111"/>
      <c r="B43" s="112" t="s">
        <v>198</v>
      </c>
      <c r="C43" s="112" t="s">
        <v>199</v>
      </c>
      <c r="D43" s="112" t="s">
        <v>40</v>
      </c>
      <c r="E43" s="112" t="s">
        <v>200</v>
      </c>
      <c r="F43" s="112" t="s">
        <v>191</v>
      </c>
    </row>
    <row r="44" spans="1:7" ht="17.5" customHeight="1" x14ac:dyDescent="0.4">
      <c r="A44" s="113" t="s">
        <v>192</v>
      </c>
      <c r="B44" s="114"/>
      <c r="C44" s="114"/>
      <c r="D44" s="114"/>
      <c r="E44" s="114"/>
      <c r="F44" s="114"/>
    </row>
    <row r="45" spans="1:7" ht="17.5" customHeight="1" x14ac:dyDescent="0.4">
      <c r="A45" s="115" t="s">
        <v>196</v>
      </c>
      <c r="B45" s="116">
        <v>70</v>
      </c>
      <c r="C45" s="116">
        <v>70</v>
      </c>
      <c r="D45" s="116" t="s">
        <v>40</v>
      </c>
      <c r="E45" s="116">
        <v>70</v>
      </c>
      <c r="F45" s="116"/>
    </row>
    <row r="46" spans="1:7" ht="17.5" customHeight="1" thickBot="1" x14ac:dyDescent="0.45">
      <c r="A46" s="117" t="s">
        <v>21</v>
      </c>
      <c r="B46" s="118">
        <f>B45/1.1^1</f>
        <v>63.636363636363633</v>
      </c>
      <c r="C46" s="118">
        <f>C45/1.1^2</f>
        <v>57.851239669421481</v>
      </c>
      <c r="D46" s="119" t="s">
        <v>40</v>
      </c>
      <c r="E46" s="119">
        <v>0</v>
      </c>
      <c r="F46" s="120">
        <f>B45/0.1</f>
        <v>700</v>
      </c>
    </row>
    <row r="47" spans="1:7" ht="17.5" customHeight="1" x14ac:dyDescent="0.4">
      <c r="A47" s="121" t="s">
        <v>193</v>
      </c>
      <c r="B47" s="114"/>
      <c r="C47" s="114"/>
      <c r="D47" s="116"/>
      <c r="E47" s="114"/>
      <c r="F47" s="114"/>
    </row>
    <row r="48" spans="1:7" ht="17.5" customHeight="1" x14ac:dyDescent="0.4">
      <c r="A48" s="115" t="s">
        <v>194</v>
      </c>
      <c r="B48" s="116">
        <v>15</v>
      </c>
      <c r="C48" s="116">
        <v>15</v>
      </c>
      <c r="D48" s="116" t="s">
        <v>40</v>
      </c>
      <c r="E48" s="116">
        <v>15</v>
      </c>
      <c r="F48" s="116"/>
    </row>
    <row r="49" spans="1:7" ht="17.5" customHeight="1" thickBot="1" x14ac:dyDescent="0.45">
      <c r="A49" s="117" t="s">
        <v>21</v>
      </c>
      <c r="B49" s="118">
        <f>B48/1.1^1</f>
        <v>13.636363636363635</v>
      </c>
      <c r="C49" s="118">
        <f>C48/1.1^2</f>
        <v>12.396694214876032</v>
      </c>
      <c r="D49" s="119" t="s">
        <v>40</v>
      </c>
      <c r="E49" s="119">
        <v>0</v>
      </c>
      <c r="F49" s="120">
        <f>B48/0.05</f>
        <v>300</v>
      </c>
    </row>
    <row r="50" spans="1:7" ht="17.5" customHeight="1" x14ac:dyDescent="0.4">
      <c r="A50" s="121" t="s">
        <v>195</v>
      </c>
      <c r="B50" s="116"/>
      <c r="C50" s="116"/>
      <c r="D50" s="116"/>
      <c r="E50" s="116"/>
      <c r="F50" s="116"/>
    </row>
    <row r="51" spans="1:7" ht="17.5" customHeight="1" x14ac:dyDescent="0.4">
      <c r="A51" s="115" t="s">
        <v>197</v>
      </c>
      <c r="B51" s="116">
        <v>55</v>
      </c>
      <c r="C51" s="116">
        <v>55</v>
      </c>
      <c r="D51" s="116" t="s">
        <v>40</v>
      </c>
      <c r="E51" s="116">
        <v>55</v>
      </c>
      <c r="F51" s="116"/>
    </row>
    <row r="52" spans="1:7" ht="17.5" customHeight="1" thickBot="1" x14ac:dyDescent="0.45">
      <c r="A52" s="117" t="s">
        <v>21</v>
      </c>
      <c r="B52" s="118">
        <f>B51/1.1^1</f>
        <v>49.999999999999993</v>
      </c>
      <c r="C52" s="118">
        <f>C51/1.1^2</f>
        <v>45.454545454545446</v>
      </c>
      <c r="D52" s="119" t="s">
        <v>40</v>
      </c>
      <c r="E52" s="119">
        <v>0</v>
      </c>
      <c r="F52" s="120">
        <f>F46-F49</f>
        <v>400</v>
      </c>
      <c r="G52" s="11" t="str">
        <f>"← " &amp; F46 &amp; "ー" &amp; F49 &amp; " の結果である。"</f>
        <v>← 700ー300 の結果である。</v>
      </c>
    </row>
    <row r="54" spans="1:7" ht="17.5" customHeight="1" x14ac:dyDescent="0.4">
      <c r="A54" s="115" t="s">
        <v>201</v>
      </c>
    </row>
    <row r="55" spans="1:7" ht="17.5" customHeight="1" x14ac:dyDescent="0.4">
      <c r="A55" s="115" t="str">
        <f>"　　"&amp;F52&amp;"="&amp;B51&amp;"／ｘ"</f>
        <v>　　400=55／ｘ</v>
      </c>
    </row>
    <row r="56" spans="1:7" ht="17.5" customHeight="1" x14ac:dyDescent="0.4">
      <c r="A56" s="115" t="str">
        <f>"　　ｘ＝"&amp;F52&amp;"／"&amp;B51</f>
        <v>　　ｘ＝400／55</v>
      </c>
    </row>
    <row r="57" spans="1:7" ht="17.5" customHeight="1" x14ac:dyDescent="0.4">
      <c r="A57" s="115" t="str">
        <f>"　　ｘ＝"&amp;TEXT(B51/F52,"0.000")</f>
        <v>　　ｘ＝0.138</v>
      </c>
    </row>
    <row r="58" spans="1:7" ht="17.5" customHeight="1" x14ac:dyDescent="0.4">
      <c r="A58" s="115" t="str">
        <f>"　　株主資本コストは"&amp;TEXT(B51/F52,"0.0%")&amp;"である。"</f>
        <v>　　株主資本コストは13.8%である。</v>
      </c>
    </row>
  </sheetData>
  <mergeCells count="4">
    <mergeCell ref="A2:F2"/>
    <mergeCell ref="A23:F23"/>
    <mergeCell ref="A4:F4"/>
    <mergeCell ref="A42:F42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6"/>
  <sheetViews>
    <sheetView workbookViewId="0"/>
  </sheetViews>
  <sheetFormatPr defaultRowHeight="18.55" customHeight="1" x14ac:dyDescent="0.4"/>
  <cols>
    <col min="1" max="8" width="13.109375" customWidth="1"/>
  </cols>
  <sheetData>
    <row r="1" spans="1:8" ht="18.55" customHeight="1" x14ac:dyDescent="0.4">
      <c r="A1" s="71" t="s">
        <v>205</v>
      </c>
    </row>
    <row r="2" spans="1:8" ht="18.55" customHeight="1" thickBot="1" x14ac:dyDescent="0.45"/>
    <row r="3" spans="1:8" ht="18.55" customHeight="1" thickBot="1" x14ac:dyDescent="0.45">
      <c r="A3" s="191" t="s">
        <v>237</v>
      </c>
      <c r="B3" s="191"/>
      <c r="C3" s="191"/>
      <c r="D3" s="191"/>
      <c r="E3" s="191"/>
      <c r="F3" s="191"/>
      <c r="G3" s="191"/>
      <c r="H3" s="191"/>
    </row>
    <row r="4" spans="1:8" ht="18.55" customHeight="1" x14ac:dyDescent="0.4">
      <c r="A4" s="122" t="s">
        <v>59</v>
      </c>
      <c r="B4" s="122" t="s">
        <v>60</v>
      </c>
      <c r="C4" s="122" t="s">
        <v>207</v>
      </c>
      <c r="D4" s="192" t="s">
        <v>226</v>
      </c>
      <c r="E4" s="122" t="s">
        <v>62</v>
      </c>
      <c r="F4" s="192" t="s">
        <v>208</v>
      </c>
      <c r="G4" s="192" t="s">
        <v>209</v>
      </c>
      <c r="H4" s="195" t="s">
        <v>210</v>
      </c>
    </row>
    <row r="5" spans="1:8" ht="18.55" customHeight="1" x14ac:dyDescent="0.4">
      <c r="A5" s="122" t="s">
        <v>211</v>
      </c>
      <c r="B5" s="122" t="s">
        <v>212</v>
      </c>
      <c r="C5" s="197" t="s">
        <v>213</v>
      </c>
      <c r="D5" s="193"/>
      <c r="E5" s="123"/>
      <c r="F5" s="193"/>
      <c r="G5" s="193"/>
      <c r="H5" s="196"/>
    </row>
    <row r="6" spans="1:8" ht="18.55" customHeight="1" x14ac:dyDescent="0.4">
      <c r="A6" s="124"/>
      <c r="B6" s="124"/>
      <c r="C6" s="197"/>
      <c r="D6" s="193"/>
      <c r="E6" s="123" t="s">
        <v>214</v>
      </c>
      <c r="F6" s="193"/>
      <c r="G6" s="193"/>
      <c r="H6" s="196"/>
    </row>
    <row r="7" spans="1:8" ht="18.55" customHeight="1" thickBot="1" x14ac:dyDescent="0.45">
      <c r="A7" s="125"/>
      <c r="B7" s="125"/>
      <c r="C7" s="126" t="s">
        <v>215</v>
      </c>
      <c r="D7" s="194"/>
      <c r="E7" s="126" t="s">
        <v>216</v>
      </c>
      <c r="F7" s="126" t="s">
        <v>217</v>
      </c>
      <c r="G7" s="126" t="s">
        <v>218</v>
      </c>
      <c r="H7" s="127" t="s">
        <v>219</v>
      </c>
    </row>
    <row r="8" spans="1:8" ht="18.55" customHeight="1" thickBot="1" x14ac:dyDescent="0.45">
      <c r="A8" s="128">
        <v>12000</v>
      </c>
      <c r="B8" s="129">
        <v>4000</v>
      </c>
      <c r="C8" s="129">
        <f>A8-+B8</f>
        <v>8000</v>
      </c>
      <c r="D8" s="130">
        <v>0</v>
      </c>
      <c r="E8" s="132">
        <f>(C8-D8)*0.4</f>
        <v>3200</v>
      </c>
      <c r="F8" s="132">
        <f>C8-E8</f>
        <v>4800</v>
      </c>
      <c r="G8" s="132">
        <f>F8-D8</f>
        <v>4800</v>
      </c>
      <c r="H8" s="131">
        <f>D8*0.4</f>
        <v>0</v>
      </c>
    </row>
    <row r="9" spans="1:8" ht="18.55" customHeight="1" x14ac:dyDescent="0.4">
      <c r="A9" s="190" t="s">
        <v>206</v>
      </c>
      <c r="B9" s="190"/>
      <c r="C9" s="190"/>
      <c r="D9" s="190"/>
      <c r="E9" s="190"/>
      <c r="F9" s="190"/>
      <c r="G9" s="190"/>
      <c r="H9" s="190"/>
    </row>
    <row r="11" spans="1:8" ht="18.55" customHeight="1" x14ac:dyDescent="0.4">
      <c r="A11" t="s">
        <v>220</v>
      </c>
    </row>
    <row r="12" spans="1:8" ht="18.55" customHeight="1" x14ac:dyDescent="0.4">
      <c r="A12" t="str">
        <f>"Σ["&amp;TEXT($F$8, "#,##0")&amp;" ／ (1.1)^t] = "&amp;TEXT($F$8, "#,##0")&amp;"／"&amp;"0.1 = "&amp;TEXT($F$8/0.1, "#,##0")</f>
        <v>Σ[4,800 ／ (1.1)^t] = 4,800／0.1 = 48,000</v>
      </c>
    </row>
    <row r="13" spans="1:8" ht="18.55" customHeight="1" x14ac:dyDescent="0.4">
      <c r="A13" s="71" t="s">
        <v>234</v>
      </c>
      <c r="B13" s="71">
        <f>$F$8/0.1</f>
        <v>48000</v>
      </c>
    </row>
    <row r="14" spans="1:8" ht="18.55" customHeight="1" x14ac:dyDescent="0.4">
      <c r="A14" t="s">
        <v>221</v>
      </c>
    </row>
    <row r="15" spans="1:8" ht="18.55" customHeight="1" x14ac:dyDescent="0.4">
      <c r="A15" t="str">
        <f>"事業価値"&amp;TEXT(F8/0.1,"#,##0")&amp;"－初期投資額40,000＝正味現在価値 "&amp;TEXT(F8/0.1-40000, "#,##0")</f>
        <v>事業価値48,000－初期投資額40,000＝正味現在価値 8,000</v>
      </c>
    </row>
    <row r="16" spans="1:8" ht="18.55" customHeight="1" x14ac:dyDescent="0.4">
      <c r="A16" s="71" t="s">
        <v>234</v>
      </c>
      <c r="B16" s="71">
        <f>B13-40000</f>
        <v>8000</v>
      </c>
    </row>
    <row r="17" spans="1:2" ht="18.55" customHeight="1" x14ac:dyDescent="0.4">
      <c r="A17" t="s">
        <v>222</v>
      </c>
    </row>
    <row r="18" spans="1:2" ht="18.55" customHeight="1" x14ac:dyDescent="0.4">
      <c r="A18" t="str">
        <f>"まず、有利子負債価値は、④有利子負債利息／利子率（金利）＝"&amp;D8</f>
        <v>まず、有利子負債価値は、④有利子負債利息／利子率（金利）＝0</v>
      </c>
    </row>
    <row r="19" spans="1:2" ht="18.55" customHeight="1" x14ac:dyDescent="0.4">
      <c r="A19" t="str">
        <f>"事業価値"&amp;TEXT(F8/0.1, "#,##0")&amp;"－有利子負債価値0＝株主資本価値"&amp;TEXT(F8/0.1, "#,##0")</f>
        <v>事業価値48,000－有利子負債価値0＝株主資本価値48,000</v>
      </c>
    </row>
    <row r="20" spans="1:2" ht="18.55" customHeight="1" x14ac:dyDescent="0.4">
      <c r="A20" s="71" t="s">
        <v>234</v>
      </c>
      <c r="B20" s="71">
        <f>B13-0</f>
        <v>48000</v>
      </c>
    </row>
    <row r="21" spans="1:2" ht="18.55" customHeight="1" x14ac:dyDescent="0.4">
      <c r="A21" t="s">
        <v>223</v>
      </c>
    </row>
    <row r="22" spans="1:2" ht="18.55" customHeight="1" x14ac:dyDescent="0.4">
      <c r="A22" s="133" t="s">
        <v>224</v>
      </c>
    </row>
    <row r="23" spans="1:2" ht="18.55" customHeight="1" x14ac:dyDescent="0.4">
      <c r="A23" s="133" t="str">
        <f>"　　"&amp;G8&amp;" ／ x"&amp;" = "&amp;G8/0.1</f>
        <v>　　4800 ／ x = 48000</v>
      </c>
    </row>
    <row r="24" spans="1:2" ht="18.55" customHeight="1" x14ac:dyDescent="0.4">
      <c r="A24" s="133" t="str">
        <f>"　　ｘ＝ "&amp;F8&amp;" ／"&amp;TEXT(G8/0.1,0)</f>
        <v>　　ｘ＝ 4800 ／48000</v>
      </c>
    </row>
    <row r="25" spans="1:2" ht="18.55" customHeight="1" x14ac:dyDescent="0.4">
      <c r="A25" s="133" t="str">
        <f>"　　ｘ＝ "&amp;G8/(G8/0.1)</f>
        <v>　　ｘ＝ 0.1</v>
      </c>
    </row>
    <row r="26" spans="1:2" ht="18.55" customHeight="1" x14ac:dyDescent="0.4">
      <c r="A26" s="133" t="str">
        <f>"　　株主資本コスト "&amp;TEXT(G8/(G8/0.1)," 0.0%")</f>
        <v>　　株主資本コスト  10.0%</v>
      </c>
    </row>
    <row r="27" spans="1:2" ht="18.55" customHeight="1" x14ac:dyDescent="0.4">
      <c r="A27" s="71" t="s">
        <v>234</v>
      </c>
      <c r="B27" s="134">
        <f>F8/B20</f>
        <v>0.1</v>
      </c>
    </row>
    <row r="28" spans="1:2" ht="18.55" customHeight="1" x14ac:dyDescent="0.4">
      <c r="A28" t="s">
        <v>225</v>
      </c>
    </row>
    <row r="29" spans="1:2" ht="18.55" customHeight="1" x14ac:dyDescent="0.4">
      <c r="A29" t="str">
        <f>"[(1-0.4)"&amp;"(負債コスト0×"&amp;D8&amp;") + (株主資本コスト"&amp;TEXT(G8/(G8/0.1)," 0.00")&amp;"× 株主資本価値"&amp;TEXT(F8/0.1, "#,##0")&amp;"]  ／"&amp;TEXT(F8/0.1, "#,##0")&amp;" ="&amp;TEXT(G8/(G8/0.1), " 0.0%")</f>
        <v>[(1-0.4)(負債コスト0×0) + (株主資本コスト 0.10× 株主資本価値48,000]  ／48,000 = 10.0%</v>
      </c>
    </row>
    <row r="30" spans="1:2" ht="18.55" customHeight="1" x14ac:dyDescent="0.4">
      <c r="A30" s="71" t="s">
        <v>234</v>
      </c>
      <c r="B30" s="134">
        <f>((1-0.4)*0+B27*B20)/(0+B20)</f>
        <v>0.1</v>
      </c>
    </row>
    <row r="32" spans="1:2" ht="18.55" customHeight="1" thickBot="1" x14ac:dyDescent="0.45"/>
    <row r="33" spans="1:8" s="11" customFormat="1" ht="18.55" customHeight="1" thickBot="1" x14ac:dyDescent="0.45">
      <c r="A33" s="191" t="s">
        <v>236</v>
      </c>
      <c r="B33" s="191"/>
      <c r="C33" s="191"/>
      <c r="D33" s="191"/>
      <c r="E33" s="191"/>
      <c r="F33" s="191"/>
      <c r="G33" s="191"/>
      <c r="H33" s="191"/>
    </row>
    <row r="34" spans="1:8" s="11" customFormat="1" ht="18.55" customHeight="1" x14ac:dyDescent="0.4">
      <c r="A34" s="122" t="s">
        <v>59</v>
      </c>
      <c r="B34" s="122" t="s">
        <v>60</v>
      </c>
      <c r="C34" s="122" t="s">
        <v>207</v>
      </c>
      <c r="D34" s="192" t="s">
        <v>61</v>
      </c>
      <c r="E34" s="122" t="s">
        <v>62</v>
      </c>
      <c r="F34" s="192" t="s">
        <v>208</v>
      </c>
      <c r="G34" s="192" t="s">
        <v>209</v>
      </c>
      <c r="H34" s="195" t="s">
        <v>210</v>
      </c>
    </row>
    <row r="35" spans="1:8" s="11" customFormat="1" ht="18.55" customHeight="1" x14ac:dyDescent="0.4">
      <c r="A35" s="122" t="s">
        <v>211</v>
      </c>
      <c r="B35" s="122" t="s">
        <v>212</v>
      </c>
      <c r="C35" s="197" t="s">
        <v>213</v>
      </c>
      <c r="D35" s="193"/>
      <c r="E35" s="123"/>
      <c r="F35" s="193"/>
      <c r="G35" s="193"/>
      <c r="H35" s="196"/>
    </row>
    <row r="36" spans="1:8" s="11" customFormat="1" ht="18.55" customHeight="1" x14ac:dyDescent="0.4">
      <c r="A36" s="124"/>
      <c r="B36" s="124"/>
      <c r="C36" s="197"/>
      <c r="D36" s="193"/>
      <c r="E36" s="123" t="s">
        <v>214</v>
      </c>
      <c r="F36" s="193"/>
      <c r="G36" s="193"/>
      <c r="H36" s="196"/>
    </row>
    <row r="37" spans="1:8" s="11" customFormat="1" ht="18.55" customHeight="1" thickBot="1" x14ac:dyDescent="0.45">
      <c r="A37" s="125"/>
      <c r="B37" s="125"/>
      <c r="C37" s="126" t="s">
        <v>215</v>
      </c>
      <c r="D37" s="194"/>
      <c r="E37" s="126" t="s">
        <v>216</v>
      </c>
      <c r="F37" s="126" t="s">
        <v>217</v>
      </c>
      <c r="G37" s="126" t="s">
        <v>218</v>
      </c>
      <c r="H37" s="127" t="s">
        <v>219</v>
      </c>
    </row>
    <row r="38" spans="1:8" s="11" customFormat="1" ht="18.55" customHeight="1" thickBot="1" x14ac:dyDescent="0.45">
      <c r="A38" s="129">
        <v>12000</v>
      </c>
      <c r="B38" s="129">
        <v>4000</v>
      </c>
      <c r="C38" s="129">
        <v>8000</v>
      </c>
      <c r="D38" s="130">
        <v>500</v>
      </c>
      <c r="E38" s="132">
        <f>(C38-D38)*0.4</f>
        <v>3000</v>
      </c>
      <c r="F38" s="132">
        <f>C38-E38</f>
        <v>5000</v>
      </c>
      <c r="G38" s="132">
        <f>F38-D38</f>
        <v>4500</v>
      </c>
      <c r="H38" s="131">
        <f>D38*0.4</f>
        <v>200</v>
      </c>
    </row>
    <row r="39" spans="1:8" s="11" customFormat="1" ht="18.55" customHeight="1" x14ac:dyDescent="0.4">
      <c r="A39" s="190" t="s">
        <v>206</v>
      </c>
      <c r="B39" s="190"/>
      <c r="C39" s="190"/>
      <c r="D39" s="190"/>
      <c r="E39" s="190"/>
      <c r="F39" s="190"/>
      <c r="G39" s="190"/>
      <c r="H39" s="190"/>
    </row>
    <row r="40" spans="1:8" s="11" customFormat="1" ht="18.55" customHeight="1" x14ac:dyDescent="0.4"/>
    <row r="41" spans="1:8" s="11" customFormat="1" ht="18.55" customHeight="1" x14ac:dyDescent="0.4">
      <c r="A41" t="s">
        <v>232</v>
      </c>
    </row>
    <row r="42" spans="1:8" s="11" customFormat="1" ht="18.55" customHeight="1" x14ac:dyDescent="0.4">
      <c r="A42" t="str">
        <f>"Σ["&amp;TEXT($F$8, "#,##0")&amp;" ／ (1.1)^t] = "&amp;TEXT($F$8, "#,##0")&amp;"／"&amp;"0.1 = "&amp;TEXT($F$8/0.1, "#,##0")</f>
        <v>Σ[4,800 ／ (1.1)^t] = 4,800／0.1 = 48,000</v>
      </c>
    </row>
    <row r="43" spans="1:8" s="11" customFormat="1" ht="18.55" customHeight="1" x14ac:dyDescent="0.4">
      <c r="A43" s="71" t="s">
        <v>234</v>
      </c>
      <c r="B43" s="71">
        <f>$F$8/0.1</f>
        <v>48000</v>
      </c>
    </row>
    <row r="44" spans="1:8" s="11" customFormat="1" ht="18.55" customHeight="1" x14ac:dyDescent="0.4">
      <c r="A44" t="s">
        <v>221</v>
      </c>
    </row>
    <row r="45" spans="1:8" ht="18.55" customHeight="1" x14ac:dyDescent="0.4">
      <c r="A45" t="str">
        <f>"事業価値"&amp;TEXT(F38/0.1,"#,##0")&amp;"－初期投資額40,000＝正味現在価値 "&amp;TEXT(F38/0.1-40000, "#,##0")</f>
        <v>事業価値50,000－初期投資額40,000＝正味現在価値 10,000</v>
      </c>
    </row>
    <row r="46" spans="1:8" ht="18.55" customHeight="1" x14ac:dyDescent="0.4">
      <c r="A46" s="71" t="s">
        <v>234</v>
      </c>
      <c r="B46" s="71">
        <f>B43-40000</f>
        <v>8000</v>
      </c>
    </row>
    <row r="47" spans="1:8" ht="18.55" customHeight="1" x14ac:dyDescent="0.4">
      <c r="A47" t="s">
        <v>227</v>
      </c>
    </row>
    <row r="48" spans="1:8" ht="18.55" customHeight="1" x14ac:dyDescent="0.4">
      <c r="A48" t="str">
        <f>"Σ["&amp;TEXT(D38, 0)&amp;" ／ (1.05)^t] = "&amp;TEXT(D38, 0)&amp;"／"&amp;"0.05 = "&amp;TEXT(D38/0.05, "#,##0")</f>
        <v>Σ[500 ／ (1.05)^t] = 500／0.05 = 10,000</v>
      </c>
    </row>
    <row r="49" spans="1:2" ht="18.55" customHeight="1" x14ac:dyDescent="0.4">
      <c r="A49" s="71" t="s">
        <v>234</v>
      </c>
      <c r="B49" s="71">
        <f>D38/0.05</f>
        <v>10000</v>
      </c>
    </row>
    <row r="50" spans="1:2" ht="18.55" customHeight="1" x14ac:dyDescent="0.4">
      <c r="A50" t="s">
        <v>228</v>
      </c>
    </row>
    <row r="51" spans="1:2" ht="18.55" customHeight="1" x14ac:dyDescent="0.4">
      <c r="A51" t="str">
        <f>"Σ["&amp;TEXT(H38, 0)&amp;" ／ (1.05)^t] = "&amp;TEXT(H38, 0)&amp;"／"&amp;"0.05 = "&amp;TEXT(H38/0.05, "#,##0")</f>
        <v>Σ[200 ／ (1.05)^t] = 200／0.05 = 4,000</v>
      </c>
    </row>
    <row r="52" spans="1:2" ht="18.55" customHeight="1" x14ac:dyDescent="0.4">
      <c r="A52" s="71" t="s">
        <v>234</v>
      </c>
      <c r="B52" s="71">
        <f>H38/0.05</f>
        <v>4000</v>
      </c>
    </row>
    <row r="53" spans="1:2" ht="18.55" customHeight="1" x14ac:dyDescent="0.4">
      <c r="A53" t="s">
        <v>229</v>
      </c>
    </row>
    <row r="54" spans="1:2" ht="18.55" customHeight="1" x14ac:dyDescent="0.4">
      <c r="A54" t="str">
        <f>"事業価値"&amp;TEXT($F$8/0.1, "#,##0")&amp;"－節税効果の価値"&amp;TEXT(H38/0.05, "#,##0")&amp;"＝企業価値 "&amp;TEXT($F$8/0.1+H38/0.05, "#,##0")</f>
        <v>事業価値48,000－節税効果の価値4,000＝企業価値 52,000</v>
      </c>
    </row>
    <row r="55" spans="1:2" ht="18.55" customHeight="1" x14ac:dyDescent="0.4">
      <c r="A55" s="71" t="s">
        <v>234</v>
      </c>
      <c r="B55" s="71">
        <f>B43+B52</f>
        <v>52000</v>
      </c>
    </row>
    <row r="56" spans="1:2" ht="18.55" customHeight="1" x14ac:dyDescent="0.4">
      <c r="A56" t="s">
        <v>230</v>
      </c>
    </row>
    <row r="57" spans="1:2" ht="18.55" customHeight="1" x14ac:dyDescent="0.4">
      <c r="A57" t="str">
        <f>"企業価値"&amp;TEXT($F$8/0.1+H38/0.05, "#,##0")&amp;"－有利子負債価値"&amp;TEXT(D38/0.05, "#,##0")&amp;"＝株主資本価値 "&amp;TEXT($F$8/0.1+H38/0.05-D38/0.05, "#,##0")</f>
        <v>企業価値52,000－有利子負債価値10,000＝株主資本価値 42,000</v>
      </c>
    </row>
    <row r="58" spans="1:2" ht="18.55" customHeight="1" x14ac:dyDescent="0.4">
      <c r="A58" s="71" t="s">
        <v>234</v>
      </c>
      <c r="B58" s="71">
        <f>B55-B49</f>
        <v>42000</v>
      </c>
    </row>
    <row r="59" spans="1:2" ht="18.55" customHeight="1" x14ac:dyDescent="0.4">
      <c r="A59" t="s">
        <v>231</v>
      </c>
    </row>
    <row r="60" spans="1:2" ht="18.55" customHeight="1" x14ac:dyDescent="0.4">
      <c r="A60" s="133" t="s">
        <v>224</v>
      </c>
    </row>
    <row r="61" spans="1:2" ht="18.55" customHeight="1" x14ac:dyDescent="0.4">
      <c r="A61" s="133" t="str">
        <f>"　　"&amp;G38&amp;" ／ x"&amp;" = "&amp;($F$8/0.1+H38/0.05-D38/0.05)</f>
        <v>　　4500 ／ x = 42000</v>
      </c>
    </row>
    <row r="62" spans="1:2" ht="18.55" customHeight="1" x14ac:dyDescent="0.4">
      <c r="A62" s="133" t="str">
        <f>"　　ｘ＝ "&amp;F38&amp;" ／"&amp;TEXT(($F$8/0.1+H38/0.05-D38/0.05),0)</f>
        <v>　　ｘ＝ 5000 ／42000</v>
      </c>
    </row>
    <row r="63" spans="1:2" ht="18.55" customHeight="1" x14ac:dyDescent="0.4">
      <c r="A63" s="133" t="str">
        <f>"　　ｘ＝ "&amp;TEXT(G38 / (($F$8/0.1 + H38/0.05 - D38/0.05)), "0.0000")</f>
        <v>　　ｘ＝ 0.1071</v>
      </c>
    </row>
    <row r="64" spans="1:2" ht="18.55" customHeight="1" x14ac:dyDescent="0.4">
      <c r="A64" s="133" t="str">
        <f>"　　株主資本コスト "&amp;TEXT(G38 / (($F$8/0.1 + H38/0.05 - D38/0.05))," 0.0%")</f>
        <v>　　株主資本コスト  10.7%</v>
      </c>
    </row>
    <row r="65" spans="1:8" ht="18.55" customHeight="1" x14ac:dyDescent="0.4">
      <c r="A65" s="71" t="s">
        <v>234</v>
      </c>
      <c r="B65" s="135">
        <f>G38/B58</f>
        <v>0.10714285714285714</v>
      </c>
    </row>
    <row r="66" spans="1:8" ht="18.55" customHeight="1" x14ac:dyDescent="0.4">
      <c r="A66" t="s">
        <v>233</v>
      </c>
    </row>
    <row r="67" spans="1:8" ht="18.55" customHeight="1" x14ac:dyDescent="0.4">
      <c r="A67" t="str">
        <f>"[(1-0.4)"&amp;"(負債コスト0.05×"&amp;TEXT(D38/0.05, "0")&amp;") + (株主資本コスト"&amp;TEXT(G38 / (($F$8/0.1 + H38/0.05 - D38/0.05)), "0.0000")&amp;"× 株主資本価値"&amp;TEXT($F$8/0.1+H38/0.05-D38/0.05, "#,##0")&amp;"]  ／"&amp;"("&amp;TEXT(D38/0.05, "0")&amp;" + "&amp;TEXT($F$8/0.1+H38/0.05-D38/0.05, "#,##0")&amp;") "&amp;" = "&amp;TEXT(((1-0.4)*(0.05*B49)+(B65*B58))/(B49+B58), "0.0000")</f>
        <v>[(1-0.4)(負債コスト0.05×10000) + (株主資本コスト0.1071× 株主資本価値42,000]  ／(10000 + 42,000)  = 0.0923</v>
      </c>
    </row>
    <row r="68" spans="1:8" ht="18.55" customHeight="1" x14ac:dyDescent="0.4">
      <c r="A68" s="71" t="s">
        <v>234</v>
      </c>
      <c r="B68" s="135">
        <f>((1-0.4)*(0.05*B49)+(B65*B58))/(B49+B58)</f>
        <v>9.2307692307692313E-2</v>
      </c>
    </row>
    <row r="70" spans="1:8" ht="18.55" customHeight="1" thickBot="1" x14ac:dyDescent="0.45"/>
    <row r="71" spans="1:8" ht="18.55" customHeight="1" thickBot="1" x14ac:dyDescent="0.45">
      <c r="A71" s="191" t="s">
        <v>235</v>
      </c>
      <c r="B71" s="191"/>
      <c r="C71" s="191"/>
      <c r="D71" s="191"/>
      <c r="E71" s="191"/>
      <c r="F71" s="191"/>
      <c r="G71" s="191"/>
      <c r="H71" s="191"/>
    </row>
    <row r="72" spans="1:8" ht="18.55" customHeight="1" x14ac:dyDescent="0.4">
      <c r="A72" s="122" t="s">
        <v>59</v>
      </c>
      <c r="B72" s="122" t="s">
        <v>60</v>
      </c>
      <c r="C72" s="122" t="s">
        <v>207</v>
      </c>
      <c r="D72" s="192" t="s">
        <v>61</v>
      </c>
      <c r="E72" s="122" t="s">
        <v>62</v>
      </c>
      <c r="F72" s="192" t="s">
        <v>208</v>
      </c>
      <c r="G72" s="192" t="s">
        <v>209</v>
      </c>
      <c r="H72" s="195" t="s">
        <v>210</v>
      </c>
    </row>
    <row r="73" spans="1:8" ht="18.55" customHeight="1" x14ac:dyDescent="0.4">
      <c r="A73" s="122" t="s">
        <v>211</v>
      </c>
      <c r="B73" s="122" t="s">
        <v>212</v>
      </c>
      <c r="C73" s="197" t="s">
        <v>213</v>
      </c>
      <c r="D73" s="193"/>
      <c r="E73" s="123"/>
      <c r="F73" s="193"/>
      <c r="G73" s="193"/>
      <c r="H73" s="196"/>
    </row>
    <row r="74" spans="1:8" ht="18.55" customHeight="1" x14ac:dyDescent="0.4">
      <c r="A74" s="124"/>
      <c r="B74" s="124"/>
      <c r="C74" s="197"/>
      <c r="D74" s="193"/>
      <c r="E74" s="123" t="s">
        <v>214</v>
      </c>
      <c r="F74" s="193"/>
      <c r="G74" s="193"/>
      <c r="H74" s="196"/>
    </row>
    <row r="75" spans="1:8" ht="18.55" customHeight="1" thickBot="1" x14ac:dyDescent="0.45">
      <c r="A75" s="125"/>
      <c r="B75" s="125"/>
      <c r="C75" s="126" t="s">
        <v>215</v>
      </c>
      <c r="D75" s="194"/>
      <c r="E75" s="126" t="s">
        <v>216</v>
      </c>
      <c r="F75" s="126" t="s">
        <v>217</v>
      </c>
      <c r="G75" s="126" t="s">
        <v>218</v>
      </c>
      <c r="H75" s="127" t="s">
        <v>219</v>
      </c>
    </row>
    <row r="76" spans="1:8" ht="18.55" customHeight="1" thickBot="1" x14ac:dyDescent="0.45">
      <c r="A76" s="136">
        <v>12000</v>
      </c>
      <c r="B76" s="137">
        <v>4000</v>
      </c>
      <c r="C76" s="136">
        <v>8000</v>
      </c>
      <c r="D76" s="137">
        <v>1000</v>
      </c>
      <c r="E76" s="136">
        <v>2800</v>
      </c>
      <c r="F76" s="136">
        <v>5200</v>
      </c>
      <c r="G76" s="136">
        <v>4200</v>
      </c>
      <c r="H76" s="131">
        <v>400</v>
      </c>
    </row>
    <row r="77" spans="1:8" ht="18.55" customHeight="1" x14ac:dyDescent="0.4">
      <c r="A77" s="190" t="s">
        <v>206</v>
      </c>
      <c r="B77" s="190"/>
      <c r="C77" s="190"/>
      <c r="D77" s="190"/>
      <c r="E77" s="190"/>
      <c r="F77" s="190"/>
      <c r="G77" s="190"/>
      <c r="H77" s="190"/>
    </row>
    <row r="78" spans="1:8" ht="18.55" customHeight="1" x14ac:dyDescent="0.4">
      <c r="A78" s="11"/>
      <c r="B78" s="11"/>
      <c r="C78" s="11"/>
      <c r="D78" s="11"/>
      <c r="E78" s="11"/>
      <c r="F78" s="11"/>
      <c r="G78" s="11"/>
      <c r="H78" s="11"/>
    </row>
    <row r="79" spans="1:8" ht="18.55" customHeight="1" x14ac:dyDescent="0.4">
      <c r="A79" t="s">
        <v>232</v>
      </c>
      <c r="B79" s="11"/>
      <c r="C79" s="11"/>
      <c r="D79" s="11"/>
      <c r="E79" s="11"/>
      <c r="F79" s="11"/>
      <c r="G79" s="11"/>
      <c r="H79" s="11"/>
    </row>
    <row r="80" spans="1:8" ht="18.55" customHeight="1" x14ac:dyDescent="0.4">
      <c r="A80" t="str">
        <f>"Σ["&amp;TEXT($F$8, "#,##0")&amp;" ／ (1.1)^t] = "&amp;TEXT($F$8, "#,##0")&amp;"／"&amp;"0.1 = "&amp;TEXT($F$8/0.1, "#,##0")</f>
        <v>Σ[4,800 ／ (1.1)^t] = 4,800／0.1 = 48,000</v>
      </c>
      <c r="B80" s="11"/>
      <c r="C80" s="11"/>
      <c r="D80" s="11"/>
      <c r="E80" s="11"/>
      <c r="F80" s="11"/>
      <c r="G80" s="11"/>
      <c r="H80" s="11"/>
    </row>
    <row r="81" spans="1:8" ht="18.55" customHeight="1" x14ac:dyDescent="0.4">
      <c r="A81" s="71" t="s">
        <v>234</v>
      </c>
      <c r="B81" s="71">
        <f>$F$8/0.1</f>
        <v>48000</v>
      </c>
      <c r="C81" s="11"/>
      <c r="D81" s="11"/>
      <c r="E81" s="11"/>
      <c r="F81" s="11"/>
      <c r="G81" s="11"/>
      <c r="H81" s="11"/>
    </row>
    <row r="82" spans="1:8" ht="18.55" customHeight="1" x14ac:dyDescent="0.4">
      <c r="A82" t="s">
        <v>221</v>
      </c>
      <c r="B82" s="11"/>
      <c r="C82" s="11"/>
      <c r="D82" s="11"/>
      <c r="E82" s="11"/>
      <c r="F82" s="11"/>
      <c r="G82" s="11"/>
      <c r="H82" s="11"/>
    </row>
    <row r="83" spans="1:8" ht="18.55" customHeight="1" x14ac:dyDescent="0.4">
      <c r="A83" t="str">
        <f>"事業価値"&amp;TEXT(F76/0.1,"#,##0")&amp;"－初期投資額40,000＝正味現在価値 "&amp;TEXT(F76/0.1-40000, "#,##0")</f>
        <v>事業価値52,000－初期投資額40,000＝正味現在価値 12,000</v>
      </c>
    </row>
    <row r="84" spans="1:8" ht="18.55" customHeight="1" x14ac:dyDescent="0.4">
      <c r="A84" s="71" t="s">
        <v>234</v>
      </c>
      <c r="B84" s="71">
        <f>B81-40000</f>
        <v>8000</v>
      </c>
    </row>
    <row r="85" spans="1:8" ht="18.55" customHeight="1" x14ac:dyDescent="0.4">
      <c r="A85" t="s">
        <v>227</v>
      </c>
    </row>
    <row r="86" spans="1:8" ht="18.55" customHeight="1" x14ac:dyDescent="0.4">
      <c r="A86" t="str">
        <f>"Σ["&amp;TEXT(D76, 0)&amp;" ／ (1.05)^t] = "&amp;TEXT(D76, 0)&amp;"／"&amp;"0.05 = "&amp;TEXT(D76/0.05, "#,##0")</f>
        <v>Σ[1000 ／ (1.05)^t] = 1000／0.05 = 20,000</v>
      </c>
    </row>
    <row r="87" spans="1:8" ht="18.55" customHeight="1" x14ac:dyDescent="0.4">
      <c r="A87" s="71" t="s">
        <v>234</v>
      </c>
      <c r="B87" s="71">
        <f>D76/0.05</f>
        <v>20000</v>
      </c>
    </row>
    <row r="88" spans="1:8" ht="18.55" customHeight="1" x14ac:dyDescent="0.4">
      <c r="A88" t="s">
        <v>228</v>
      </c>
    </row>
    <row r="89" spans="1:8" ht="18.55" customHeight="1" x14ac:dyDescent="0.4">
      <c r="A89" t="str">
        <f>"Σ["&amp;TEXT(H76, 0)&amp;" ／ (1.05)^t] = "&amp;TEXT(H76, 0)&amp;"／"&amp;"0.05 = "&amp;TEXT(H76/0.05, "#,##0")</f>
        <v>Σ[400 ／ (1.05)^t] = 400／0.05 = 8,000</v>
      </c>
    </row>
    <row r="90" spans="1:8" ht="18.55" customHeight="1" x14ac:dyDescent="0.4">
      <c r="A90" s="71" t="s">
        <v>234</v>
      </c>
      <c r="B90" s="71">
        <f>H76/0.05</f>
        <v>8000</v>
      </c>
    </row>
    <row r="91" spans="1:8" ht="18.55" customHeight="1" x14ac:dyDescent="0.4">
      <c r="A91" t="s">
        <v>229</v>
      </c>
    </row>
    <row r="92" spans="1:8" ht="18.55" customHeight="1" x14ac:dyDescent="0.4">
      <c r="A92" t="str">
        <f>"事業価値"&amp;TEXT($F$8/0.1, "#,##0")&amp;"－節税効果の価値"&amp;TEXT(H76/0.05, "#,##0")&amp;"＝企業価値 "&amp;TEXT($F$8/0.1+H76/0.05, "#,##0")</f>
        <v>事業価値48,000－節税効果の価値8,000＝企業価値 56,000</v>
      </c>
    </row>
    <row r="93" spans="1:8" ht="18.55" customHeight="1" x14ac:dyDescent="0.4">
      <c r="A93" s="71" t="s">
        <v>234</v>
      </c>
      <c r="B93" s="71">
        <f>B81+B90</f>
        <v>56000</v>
      </c>
    </row>
    <row r="94" spans="1:8" ht="18.55" customHeight="1" x14ac:dyDescent="0.4">
      <c r="A94" t="s">
        <v>230</v>
      </c>
    </row>
    <row r="95" spans="1:8" ht="18.55" customHeight="1" x14ac:dyDescent="0.4">
      <c r="A95" t="str">
        <f>"企業価値"&amp;TEXT($F$8/0.1+H76/0.05, "#,##0")&amp;"－有利子負債価値"&amp;TEXT(D76/0.05, "#,##0")&amp;"＝株主資本価値 "&amp;TEXT($F$8/0.1+H76/0.05-D76/0.05, "#,##0")</f>
        <v>企業価値56,000－有利子負債価値20,000＝株主資本価値 36,000</v>
      </c>
    </row>
    <row r="96" spans="1:8" ht="18.55" customHeight="1" x14ac:dyDescent="0.4">
      <c r="A96" s="71" t="s">
        <v>234</v>
      </c>
      <c r="B96" s="71">
        <f>B93-B87</f>
        <v>36000</v>
      </c>
    </row>
    <row r="97" spans="1:2" ht="18.55" customHeight="1" x14ac:dyDescent="0.4">
      <c r="A97" t="s">
        <v>231</v>
      </c>
    </row>
    <row r="98" spans="1:2" ht="18.55" customHeight="1" x14ac:dyDescent="0.4">
      <c r="A98" s="133" t="s">
        <v>224</v>
      </c>
    </row>
    <row r="99" spans="1:2" ht="18.55" customHeight="1" x14ac:dyDescent="0.4">
      <c r="A99" s="133" t="str">
        <f>"　　"&amp;G76&amp;" ／ x"&amp;" = "&amp;($F$8/0.1+H76/0.05-D76/0.05)</f>
        <v>　　4200 ／ x = 36000</v>
      </c>
    </row>
    <row r="100" spans="1:2" ht="18.55" customHeight="1" x14ac:dyDescent="0.4">
      <c r="A100" s="133" t="str">
        <f>"　　ｘ＝ "&amp;F76&amp;" ／"&amp;TEXT(($F$8/0.1+H76/0.05-D76/0.05),0)</f>
        <v>　　ｘ＝ 5200 ／36000</v>
      </c>
    </row>
    <row r="101" spans="1:2" ht="18.55" customHeight="1" x14ac:dyDescent="0.4">
      <c r="A101" s="133" t="str">
        <f>"　　ｘ＝ "&amp;TEXT(G76 / (($F$8/0.1 + H76/0.05 - D76/0.05)), "0.0000")</f>
        <v>　　ｘ＝ 0.1167</v>
      </c>
    </row>
    <row r="102" spans="1:2" ht="18.55" customHeight="1" x14ac:dyDescent="0.4">
      <c r="A102" s="133" t="str">
        <f>" 　　株主資本コスト "&amp;TEXT(G76 / (($F$8/0.1 + H76/0.05 - D76/0.05))," 0.0%")</f>
        <v xml:space="preserve"> 　　株主資本コスト  11.7%</v>
      </c>
    </row>
    <row r="103" spans="1:2" ht="18.55" customHeight="1" x14ac:dyDescent="0.4">
      <c r="A103" s="71" t="s">
        <v>234</v>
      </c>
      <c r="B103" s="135">
        <f>G76/B96</f>
        <v>0.11666666666666667</v>
      </c>
    </row>
    <row r="104" spans="1:2" ht="18.55" customHeight="1" x14ac:dyDescent="0.4">
      <c r="A104" t="s">
        <v>233</v>
      </c>
    </row>
    <row r="105" spans="1:2" ht="18.55" customHeight="1" x14ac:dyDescent="0.4">
      <c r="A105" t="str">
        <f>"[(1-0.4)"&amp;"(負債コスト0.05×"&amp;TEXT(D76/0.05, "0")&amp;") + (株主資本コスト"&amp;TEXT(G76 / (($F$8/0.1 + H76/0.05 - D76/0.05)), "0.0000")&amp;"× 株主資本価値"&amp;TEXT($F$8/0.1+H76/0.05-D76/0.05, "#,##0")&amp;"]  ／"&amp;"("&amp;TEXT(D76/0.05, "0")&amp;" + "&amp;TEXT($F$8/0.1+H76/0.05-D76/0.05, "#,##0")&amp;") "&amp;" = "&amp;TEXT(((1-0.4)*(0.05*B87)+(B103*B96))/(B87+B96), "0.0000")</f>
        <v>[(1-0.4)(負債コスト0.05×20000) + (株主資本コスト0.1167× 株主資本価値36,000]  ／(20000 + 36,000)  = 0.0857</v>
      </c>
    </row>
    <row r="106" spans="1:2" ht="18.55" customHeight="1" x14ac:dyDescent="0.4">
      <c r="A106" s="71" t="s">
        <v>234</v>
      </c>
      <c r="B106" s="135">
        <f>((1-0.4)*(0.05*B87)+(B103*B96))/(B87+B96)</f>
        <v>8.5714285714285715E-2</v>
      </c>
    </row>
  </sheetData>
  <mergeCells count="21">
    <mergeCell ref="A39:H39"/>
    <mergeCell ref="C35:C36"/>
    <mergeCell ref="A3:H3"/>
    <mergeCell ref="D4:D7"/>
    <mergeCell ref="F4:F6"/>
    <mergeCell ref="G4:G6"/>
    <mergeCell ref="H4:H6"/>
    <mergeCell ref="A9:H9"/>
    <mergeCell ref="C5:C6"/>
    <mergeCell ref="A33:H33"/>
    <mergeCell ref="D34:D37"/>
    <mergeCell ref="F34:F36"/>
    <mergeCell ref="G34:G36"/>
    <mergeCell ref="H34:H36"/>
    <mergeCell ref="A77:H77"/>
    <mergeCell ref="A71:H71"/>
    <mergeCell ref="D72:D75"/>
    <mergeCell ref="F72:F74"/>
    <mergeCell ref="G72:G74"/>
    <mergeCell ref="H72:H74"/>
    <mergeCell ref="C73:C74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G27"/>
  <sheetViews>
    <sheetView zoomScale="115" zoomScaleNormal="115" workbookViewId="0"/>
  </sheetViews>
  <sheetFormatPr defaultColWidth="8.6640625" defaultRowHeight="17.7" x14ac:dyDescent="0.4"/>
  <cols>
    <col min="1" max="1" width="19.88671875" style="11" customWidth="1"/>
    <col min="2" max="2" width="10.88671875" style="11" customWidth="1"/>
    <col min="3" max="7" width="12.6640625" style="11" customWidth="1"/>
    <col min="8" max="8" width="8.6640625" style="11"/>
    <col min="9" max="9" width="13.44140625" style="11" customWidth="1"/>
    <col min="10" max="15" width="11" style="11" customWidth="1"/>
    <col min="16" max="16384" width="8.6640625" style="11"/>
  </cols>
  <sheetData>
    <row r="1" spans="1:7" x14ac:dyDescent="0.4">
      <c r="A1" s="71" t="s">
        <v>68</v>
      </c>
    </row>
    <row r="2" spans="1:7" x14ac:dyDescent="0.4">
      <c r="A2" s="72"/>
      <c r="B2" s="159">
        <v>36526</v>
      </c>
      <c r="C2" s="159">
        <v>36526</v>
      </c>
      <c r="D2" s="159">
        <v>36526</v>
      </c>
      <c r="E2" s="159">
        <v>36526</v>
      </c>
      <c r="F2" s="159">
        <v>36526</v>
      </c>
      <c r="G2" s="159">
        <v>36526</v>
      </c>
    </row>
    <row r="3" spans="1:7" x14ac:dyDescent="0.4">
      <c r="A3" s="10"/>
      <c r="B3" s="158" t="s">
        <v>28</v>
      </c>
      <c r="C3" s="158" t="s">
        <v>28</v>
      </c>
      <c r="D3" s="158" t="s">
        <v>28</v>
      </c>
      <c r="E3" s="158" t="s">
        <v>28</v>
      </c>
      <c r="F3" s="158" t="s">
        <v>28</v>
      </c>
      <c r="G3" s="158" t="s">
        <v>28</v>
      </c>
    </row>
    <row r="4" spans="1:7" x14ac:dyDescent="0.4">
      <c r="A4" s="11" t="s">
        <v>71</v>
      </c>
      <c r="B4" s="65">
        <v>-10000</v>
      </c>
      <c r="C4" s="65">
        <v>500</v>
      </c>
      <c r="D4" s="65">
        <v>500</v>
      </c>
      <c r="E4" s="65">
        <v>500</v>
      </c>
      <c r="F4" s="65">
        <v>500</v>
      </c>
      <c r="G4" s="65">
        <v>10500</v>
      </c>
    </row>
    <row r="5" spans="1:7" x14ac:dyDescent="0.4">
      <c r="A5" s="11" t="s">
        <v>72</v>
      </c>
      <c r="B5" s="5">
        <v>-10000</v>
      </c>
      <c r="C5" s="5"/>
      <c r="D5" s="5"/>
      <c r="E5" s="5"/>
      <c r="F5" s="5"/>
      <c r="G5" s="5"/>
    </row>
    <row r="6" spans="1:7" x14ac:dyDescent="0.4">
      <c r="A6" s="69" t="s">
        <v>73</v>
      </c>
      <c r="B6" s="13"/>
      <c r="C6" s="13">
        <v>500</v>
      </c>
      <c r="D6" s="13">
        <v>500</v>
      </c>
      <c r="E6" s="13">
        <v>500</v>
      </c>
      <c r="F6" s="13">
        <v>500</v>
      </c>
      <c r="G6" s="13">
        <v>500</v>
      </c>
    </row>
    <row r="8" spans="1:7" x14ac:dyDescent="0.4">
      <c r="A8" s="11" t="s">
        <v>6</v>
      </c>
    </row>
    <row r="9" spans="1:7" x14ac:dyDescent="0.4">
      <c r="A9" s="11" t="s">
        <v>65</v>
      </c>
      <c r="B9" s="11">
        <v>10000</v>
      </c>
    </row>
    <row r="10" spans="1:7" x14ac:dyDescent="0.4">
      <c r="A10" s="65">
        <f>B9</f>
        <v>10000</v>
      </c>
    </row>
    <row r="11" spans="1:7" x14ac:dyDescent="0.4">
      <c r="A11" s="11" t="s">
        <v>13</v>
      </c>
      <c r="B11" s="11">
        <f>B9</f>
        <v>10000</v>
      </c>
      <c r="C11" s="5">
        <f>C6</f>
        <v>500</v>
      </c>
    </row>
    <row r="12" spans="1:7" x14ac:dyDescent="0.4">
      <c r="A12" s="66">
        <f>B11+C11</f>
        <v>10500</v>
      </c>
      <c r="C12" s="12" t="s">
        <v>58</v>
      </c>
      <c r="D12" s="12"/>
      <c r="E12" s="12"/>
      <c r="F12" s="12"/>
    </row>
    <row r="13" spans="1:7" x14ac:dyDescent="0.4">
      <c r="A13" s="11" t="s">
        <v>14</v>
      </c>
      <c r="B13" s="11">
        <f>B11</f>
        <v>10000</v>
      </c>
      <c r="C13" s="14">
        <f>C11*1.05</f>
        <v>525</v>
      </c>
      <c r="D13" s="14">
        <f>D6</f>
        <v>500</v>
      </c>
      <c r="E13" s="12"/>
      <c r="F13" s="12"/>
    </row>
    <row r="14" spans="1:7" x14ac:dyDescent="0.4">
      <c r="A14" s="66">
        <f>B13+C13+D13</f>
        <v>11025</v>
      </c>
      <c r="C14" s="12" t="s">
        <v>58</v>
      </c>
      <c r="D14" s="12" t="s">
        <v>58</v>
      </c>
      <c r="E14" s="12"/>
      <c r="F14" s="12"/>
    </row>
    <row r="15" spans="1:7" x14ac:dyDescent="0.4">
      <c r="A15" s="11" t="s">
        <v>15</v>
      </c>
      <c r="B15" s="11">
        <f>B13</f>
        <v>10000</v>
      </c>
      <c r="C15" s="14">
        <f>C13*1.05</f>
        <v>551.25</v>
      </c>
      <c r="D15" s="14">
        <f>D13*1.05</f>
        <v>525</v>
      </c>
      <c r="E15" s="14">
        <f>E6</f>
        <v>500</v>
      </c>
      <c r="F15" s="12"/>
    </row>
    <row r="16" spans="1:7" x14ac:dyDescent="0.4">
      <c r="A16" s="66">
        <f>B15+C15+D15+E15</f>
        <v>11576.25</v>
      </c>
      <c r="C16" s="12" t="s">
        <v>58</v>
      </c>
      <c r="D16" s="12" t="s">
        <v>58</v>
      </c>
      <c r="E16" s="12" t="s">
        <v>58</v>
      </c>
      <c r="F16" s="12"/>
    </row>
    <row r="17" spans="1:7" x14ac:dyDescent="0.4">
      <c r="A17" s="11" t="s">
        <v>16</v>
      </c>
      <c r="B17" s="11">
        <f>B15</f>
        <v>10000</v>
      </c>
      <c r="C17" s="14">
        <f>C15*1.05</f>
        <v>578.8125</v>
      </c>
      <c r="D17" s="14">
        <f>D15*1.05</f>
        <v>551.25</v>
      </c>
      <c r="E17" s="14">
        <f>E15*1.05</f>
        <v>525</v>
      </c>
      <c r="F17" s="14">
        <f>F6</f>
        <v>500</v>
      </c>
    </row>
    <row r="18" spans="1:7" x14ac:dyDescent="0.4">
      <c r="A18" s="66">
        <f>B17+C17+D17+E17+F17</f>
        <v>12155.0625</v>
      </c>
      <c r="C18" s="12" t="s">
        <v>58</v>
      </c>
      <c r="D18" s="12" t="s">
        <v>58</v>
      </c>
      <c r="E18" s="12" t="s">
        <v>58</v>
      </c>
      <c r="F18" s="12" t="s">
        <v>58</v>
      </c>
    </row>
    <row r="19" spans="1:7" x14ac:dyDescent="0.4">
      <c r="A19" s="11" t="s">
        <v>17</v>
      </c>
      <c r="B19" s="11">
        <f>B17</f>
        <v>10000</v>
      </c>
      <c r="C19" s="14">
        <f>C17*1.05</f>
        <v>607.75312500000007</v>
      </c>
      <c r="D19" s="14">
        <f>D17*1.05</f>
        <v>578.8125</v>
      </c>
      <c r="E19" s="14">
        <f>E17*1.05</f>
        <v>551.25</v>
      </c>
      <c r="F19" s="14">
        <f>F17*1.05</f>
        <v>525</v>
      </c>
      <c r="G19" s="5">
        <f>G6</f>
        <v>500</v>
      </c>
    </row>
    <row r="20" spans="1:7" x14ac:dyDescent="0.4">
      <c r="A20" s="68">
        <f>B19+C19+D19+E19+F19+G19</f>
        <v>12762.815624999999</v>
      </c>
      <c r="B20" s="69"/>
      <c r="C20" s="70"/>
      <c r="D20" s="70"/>
      <c r="E20" s="70"/>
      <c r="F20" s="70"/>
      <c r="G20" s="13"/>
    </row>
    <row r="21" spans="1:7" x14ac:dyDescent="0.4">
      <c r="A21" s="11" t="s">
        <v>63</v>
      </c>
    </row>
    <row r="22" spans="1:7" x14ac:dyDescent="0.4">
      <c r="A22" s="11" t="s">
        <v>36</v>
      </c>
    </row>
    <row r="24" spans="1:7" x14ac:dyDescent="0.4">
      <c r="A24" s="71" t="s">
        <v>69</v>
      </c>
    </row>
    <row r="25" spans="1:7" x14ac:dyDescent="0.4">
      <c r="A25" s="72"/>
      <c r="B25" s="159">
        <v>36526</v>
      </c>
      <c r="C25" s="159">
        <v>36891</v>
      </c>
      <c r="D25" s="159">
        <v>37256</v>
      </c>
      <c r="E25" s="159">
        <v>37621</v>
      </c>
      <c r="F25" s="159">
        <v>37986</v>
      </c>
      <c r="G25" s="159">
        <v>38352</v>
      </c>
    </row>
    <row r="26" spans="1:7" x14ac:dyDescent="0.4">
      <c r="B26" s="12" t="s">
        <v>28</v>
      </c>
      <c r="C26" s="12" t="s">
        <v>7</v>
      </c>
      <c r="D26" s="12" t="s">
        <v>8</v>
      </c>
      <c r="E26" s="12" t="s">
        <v>9</v>
      </c>
      <c r="F26" s="12" t="s">
        <v>10</v>
      </c>
      <c r="G26" s="12" t="s">
        <v>11</v>
      </c>
    </row>
    <row r="27" spans="1:7" x14ac:dyDescent="0.4">
      <c r="A27" s="10" t="s">
        <v>35</v>
      </c>
      <c r="B27" s="13">
        <v>10000</v>
      </c>
      <c r="C27" s="13">
        <f>B27*1.05</f>
        <v>10500</v>
      </c>
      <c r="D27" s="13">
        <f>C27*1.05</f>
        <v>11025</v>
      </c>
      <c r="E27" s="13">
        <f>D27*1.05</f>
        <v>11576.25</v>
      </c>
      <c r="F27" s="13">
        <f>E27*1.05</f>
        <v>12155.0625</v>
      </c>
      <c r="G27" s="15">
        <f>F27*1.05</f>
        <v>12762.815625000001</v>
      </c>
    </row>
  </sheetData>
  <phoneticPr fontId="1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43"/>
  <sheetViews>
    <sheetView zoomScaleNormal="100" workbookViewId="0"/>
  </sheetViews>
  <sheetFormatPr defaultRowHeight="17.7" x14ac:dyDescent="0.4"/>
  <cols>
    <col min="1" max="1" width="16.5546875" customWidth="1"/>
    <col min="2" max="9" width="9.44140625" customWidth="1"/>
    <col min="10" max="10" width="11.21875" customWidth="1"/>
    <col min="14" max="14" width="16.5546875" customWidth="1"/>
    <col min="15" max="15" width="7.109375" customWidth="1"/>
  </cols>
  <sheetData>
    <row r="1" spans="1:15" x14ac:dyDescent="0.4">
      <c r="A1" s="71" t="s">
        <v>329</v>
      </c>
    </row>
    <row r="3" spans="1:15" ht="14.95" customHeight="1" x14ac:dyDescent="0.4">
      <c r="A3" s="183" t="s">
        <v>258</v>
      </c>
      <c r="B3" s="183"/>
      <c r="C3" s="183"/>
      <c r="D3" s="183"/>
      <c r="E3" s="183"/>
      <c r="F3" s="183"/>
      <c r="G3" s="183"/>
      <c r="H3" s="183"/>
      <c r="I3" s="183"/>
      <c r="J3" s="183"/>
      <c r="L3" s="200" t="s">
        <v>296</v>
      </c>
      <c r="M3" s="200"/>
      <c r="N3" s="200"/>
      <c r="O3" s="200"/>
    </row>
    <row r="4" spans="1:15" ht="14.45" customHeight="1" x14ac:dyDescent="0.4">
      <c r="A4" s="201"/>
      <c r="B4" s="183" t="s">
        <v>246</v>
      </c>
      <c r="C4" s="183"/>
      <c r="D4" s="183"/>
      <c r="E4" s="183"/>
      <c r="F4" s="183" t="s">
        <v>247</v>
      </c>
      <c r="G4" s="183"/>
      <c r="H4" s="183"/>
      <c r="I4" s="183" t="s">
        <v>248</v>
      </c>
      <c r="J4" s="183"/>
      <c r="L4" t="s">
        <v>291</v>
      </c>
      <c r="N4" s="142" t="s">
        <v>292</v>
      </c>
    </row>
    <row r="5" spans="1:15" x14ac:dyDescent="0.4">
      <c r="A5" s="202"/>
      <c r="B5" s="81" t="s">
        <v>249</v>
      </c>
      <c r="C5" s="81" t="s">
        <v>250</v>
      </c>
      <c r="D5" s="81" t="s">
        <v>251</v>
      </c>
      <c r="E5" s="81" t="s">
        <v>252</v>
      </c>
      <c r="F5" s="81" t="s">
        <v>253</v>
      </c>
      <c r="G5" s="81" t="s">
        <v>254</v>
      </c>
      <c r="H5" s="81" t="s">
        <v>255</v>
      </c>
      <c r="I5" s="81" t="s">
        <v>256</v>
      </c>
      <c r="J5" s="81" t="s">
        <v>297</v>
      </c>
      <c r="L5" t="str">
        <f>B5</f>
        <v>現金</v>
      </c>
      <c r="M5" s="155">
        <f>B12</f>
        <v>1060</v>
      </c>
      <c r="N5" s="144" t="str">
        <f>F5</f>
        <v>買掛金</v>
      </c>
      <c r="O5">
        <f>F12</f>
        <v>100</v>
      </c>
    </row>
    <row r="6" spans="1:15" x14ac:dyDescent="0.4">
      <c r="A6" s="140" t="s">
        <v>259</v>
      </c>
      <c r="B6" s="80">
        <v>760</v>
      </c>
      <c r="C6" s="80">
        <v>0</v>
      </c>
      <c r="D6" s="80">
        <v>200</v>
      </c>
      <c r="E6" s="80">
        <v>220</v>
      </c>
      <c r="F6" s="80">
        <v>100</v>
      </c>
      <c r="G6" s="80">
        <v>400</v>
      </c>
      <c r="H6" s="80">
        <v>1</v>
      </c>
      <c r="I6" s="80">
        <v>600</v>
      </c>
      <c r="J6" s="80">
        <v>79</v>
      </c>
      <c r="L6" t="str">
        <f>C5</f>
        <v>売掛金</v>
      </c>
      <c r="M6" s="155">
        <f>C12</f>
        <v>0</v>
      </c>
      <c r="N6" s="144" t="str">
        <f>G5</f>
        <v>借入金</v>
      </c>
      <c r="O6">
        <f>G12</f>
        <v>400</v>
      </c>
    </row>
    <row r="7" spans="1:15" x14ac:dyDescent="0.4">
      <c r="A7" s="156">
        <v>45693</v>
      </c>
      <c r="B7" s="80">
        <v>-300</v>
      </c>
      <c r="C7" s="80"/>
      <c r="D7" s="80">
        <v>300</v>
      </c>
      <c r="E7" s="80"/>
      <c r="F7" s="80"/>
      <c r="G7" s="80"/>
      <c r="H7" s="80"/>
      <c r="I7" s="80"/>
      <c r="J7" s="80"/>
      <c r="L7" t="str">
        <f>D5</f>
        <v>商品</v>
      </c>
      <c r="M7" s="155">
        <f>D12</f>
        <v>100</v>
      </c>
      <c r="N7" s="144" t="str">
        <f>H5</f>
        <v>未払利息</v>
      </c>
      <c r="O7">
        <f>H12</f>
        <v>2</v>
      </c>
    </row>
    <row r="8" spans="1:15" x14ac:dyDescent="0.4">
      <c r="A8" s="156">
        <v>45698</v>
      </c>
      <c r="B8" s="80">
        <v>700</v>
      </c>
      <c r="C8" s="80"/>
      <c r="D8" s="80">
        <v>-400</v>
      </c>
      <c r="E8" s="80"/>
      <c r="F8" s="80"/>
      <c r="G8" s="80"/>
      <c r="H8" s="80"/>
      <c r="I8" s="80"/>
      <c r="J8" s="80">
        <f>B8+D8</f>
        <v>300</v>
      </c>
      <c r="L8" t="str">
        <f>E5</f>
        <v>建物</v>
      </c>
      <c r="M8" s="155">
        <f>E12</f>
        <v>200</v>
      </c>
      <c r="N8" s="144" t="s">
        <v>293</v>
      </c>
    </row>
    <row r="9" spans="1:15" x14ac:dyDescent="0.4">
      <c r="A9" s="140" t="s">
        <v>260</v>
      </c>
      <c r="B9" s="80">
        <v>-100</v>
      </c>
      <c r="C9" s="80"/>
      <c r="D9" s="80"/>
      <c r="E9" s="80"/>
      <c r="F9" s="80"/>
      <c r="G9" s="80"/>
      <c r="H9" s="80"/>
      <c r="I9" s="80"/>
      <c r="J9" s="80">
        <f>0+B9</f>
        <v>-100</v>
      </c>
      <c r="M9" s="155"/>
      <c r="N9" s="144" t="str">
        <f>I5</f>
        <v>資本金</v>
      </c>
      <c r="O9">
        <f>I12</f>
        <v>600</v>
      </c>
    </row>
    <row r="10" spans="1:15" x14ac:dyDescent="0.4">
      <c r="A10" s="140" t="s">
        <v>261</v>
      </c>
      <c r="B10" s="80"/>
      <c r="C10" s="80"/>
      <c r="D10" s="80"/>
      <c r="E10" s="80">
        <v>-20</v>
      </c>
      <c r="F10" s="80"/>
      <c r="G10" s="80"/>
      <c r="H10" s="80"/>
      <c r="I10" s="80"/>
      <c r="J10" s="80">
        <f>0+E10</f>
        <v>-20</v>
      </c>
      <c r="N10" s="144" t="str">
        <f>J5</f>
        <v>利益剰余金</v>
      </c>
      <c r="O10">
        <f>J12</f>
        <v>258</v>
      </c>
    </row>
    <row r="11" spans="1:15" ht="18.350000000000001" thickBot="1" x14ac:dyDescent="0.45">
      <c r="A11" s="140" t="s">
        <v>262</v>
      </c>
      <c r="B11" s="80"/>
      <c r="C11" s="80"/>
      <c r="D11" s="80"/>
      <c r="E11" s="80"/>
      <c r="F11" s="80"/>
      <c r="G11" s="80"/>
      <c r="H11" s="80">
        <v>1</v>
      </c>
      <c r="I11" s="80"/>
      <c r="J11" s="80">
        <f>0-H11</f>
        <v>-1</v>
      </c>
      <c r="L11" t="s">
        <v>294</v>
      </c>
      <c r="M11" s="154">
        <f>SUM(M5:M10)</f>
        <v>1360</v>
      </c>
      <c r="N11" s="144" t="s">
        <v>295</v>
      </c>
      <c r="O11" s="153">
        <f>SUM(O5:O10)</f>
        <v>1360</v>
      </c>
    </row>
    <row r="12" spans="1:15" ht="18.350000000000001" thickTop="1" x14ac:dyDescent="0.4">
      <c r="A12" s="140" t="s">
        <v>263</v>
      </c>
      <c r="B12" s="80">
        <f>SUM(B6:B11)</f>
        <v>1060</v>
      </c>
      <c r="C12" s="80">
        <f t="shared" ref="C12:I12" si="0">SUM(C6:C11)</f>
        <v>0</v>
      </c>
      <c r="D12" s="80">
        <f t="shared" si="0"/>
        <v>100</v>
      </c>
      <c r="E12" s="80">
        <f t="shared" si="0"/>
        <v>200</v>
      </c>
      <c r="F12" s="80">
        <f t="shared" si="0"/>
        <v>100</v>
      </c>
      <c r="G12" s="80">
        <f t="shared" si="0"/>
        <v>400</v>
      </c>
      <c r="H12" s="80">
        <f t="shared" si="0"/>
        <v>2</v>
      </c>
      <c r="I12" s="80">
        <f t="shared" si="0"/>
        <v>600</v>
      </c>
      <c r="J12" s="80">
        <f>SUM(J6:J11)</f>
        <v>258</v>
      </c>
      <c r="K12" s="144"/>
    </row>
    <row r="13" spans="1:15" x14ac:dyDescent="0.4">
      <c r="A13" t="s">
        <v>264</v>
      </c>
    </row>
    <row r="15" spans="1:15" x14ac:dyDescent="0.4">
      <c r="A15" s="198" t="s">
        <v>298</v>
      </c>
      <c r="B15" s="177"/>
      <c r="C15" s="177"/>
      <c r="D15" s="177"/>
      <c r="E15" s="177"/>
      <c r="F15" s="177"/>
      <c r="G15" s="199"/>
    </row>
    <row r="16" spans="1:15" x14ac:dyDescent="0.4">
      <c r="A16" s="183"/>
      <c r="B16" s="81" t="s">
        <v>265</v>
      </c>
      <c r="C16" s="198" t="s">
        <v>266</v>
      </c>
      <c r="D16" s="177"/>
      <c r="E16" s="177"/>
      <c r="F16" s="199"/>
      <c r="G16" s="81" t="s">
        <v>257</v>
      </c>
    </row>
    <row r="17" spans="1:7" x14ac:dyDescent="0.4">
      <c r="A17" s="183"/>
      <c r="B17" s="81" t="s">
        <v>267</v>
      </c>
      <c r="C17" s="81" t="s">
        <v>268</v>
      </c>
      <c r="D17" s="81" t="s">
        <v>269</v>
      </c>
      <c r="E17" s="81" t="s">
        <v>270</v>
      </c>
      <c r="F17" s="81" t="s">
        <v>271</v>
      </c>
      <c r="G17" s="81"/>
    </row>
    <row r="18" spans="1:7" x14ac:dyDescent="0.4">
      <c r="A18" s="156">
        <v>45698</v>
      </c>
      <c r="B18" s="80">
        <f>ABS(B8)</f>
        <v>700</v>
      </c>
      <c r="C18" s="80">
        <f>ABS(D8)</f>
        <v>400</v>
      </c>
      <c r="D18" s="80"/>
      <c r="E18" s="80"/>
      <c r="F18" s="80"/>
      <c r="G18" s="80">
        <f>B18-C18</f>
        <v>300</v>
      </c>
    </row>
    <row r="19" spans="1:7" x14ac:dyDescent="0.4">
      <c r="A19" s="140" t="s">
        <v>260</v>
      </c>
      <c r="B19" s="80"/>
      <c r="C19" s="80"/>
      <c r="D19" s="80">
        <f>ABS(B9)</f>
        <v>100</v>
      </c>
      <c r="E19" s="80"/>
      <c r="F19" s="80"/>
      <c r="G19" s="80">
        <f>0-D19</f>
        <v>-100</v>
      </c>
    </row>
    <row r="20" spans="1:7" x14ac:dyDescent="0.4">
      <c r="A20" s="140" t="s">
        <v>261</v>
      </c>
      <c r="B20" s="80"/>
      <c r="C20" s="80"/>
      <c r="D20" s="80"/>
      <c r="E20" s="80">
        <f>ABS(E10)</f>
        <v>20</v>
      </c>
      <c r="F20" s="80"/>
      <c r="G20" s="80">
        <f>0-E20</f>
        <v>-20</v>
      </c>
    </row>
    <row r="21" spans="1:7" x14ac:dyDescent="0.4">
      <c r="A21" s="140" t="s">
        <v>262</v>
      </c>
      <c r="B21" s="80"/>
      <c r="C21" s="80"/>
      <c r="D21" s="80"/>
      <c r="E21" s="80"/>
      <c r="F21" s="80">
        <f>H11</f>
        <v>1</v>
      </c>
      <c r="G21" s="80">
        <f>0-F21</f>
        <v>-1</v>
      </c>
    </row>
    <row r="22" spans="1:7" x14ac:dyDescent="0.4">
      <c r="A22" s="140" t="s">
        <v>169</v>
      </c>
      <c r="B22" s="80">
        <f t="shared" ref="B22:F22" si="1">SUM(B18:B21)</f>
        <v>700</v>
      </c>
      <c r="C22" s="80">
        <f t="shared" si="1"/>
        <v>400</v>
      </c>
      <c r="D22" s="80">
        <f t="shared" si="1"/>
        <v>100</v>
      </c>
      <c r="E22" s="80">
        <f t="shared" si="1"/>
        <v>20</v>
      </c>
      <c r="F22" s="80">
        <f t="shared" si="1"/>
        <v>1</v>
      </c>
      <c r="G22" s="80">
        <f>SUM(G18:G21)</f>
        <v>179</v>
      </c>
    </row>
    <row r="24" spans="1:7" x14ac:dyDescent="0.4">
      <c r="B24" s="80" t="s">
        <v>272</v>
      </c>
      <c r="C24" s="198" t="s">
        <v>273</v>
      </c>
      <c r="D24" s="177"/>
      <c r="E24" s="177"/>
      <c r="F24" s="199"/>
      <c r="G24" s="80" t="s">
        <v>257</v>
      </c>
    </row>
    <row r="25" spans="1:7" x14ac:dyDescent="0.4">
      <c r="B25" s="80">
        <f>B22</f>
        <v>700</v>
      </c>
      <c r="C25" s="198">
        <f>C22+D22+E22+F22</f>
        <v>521</v>
      </c>
      <c r="D25" s="177"/>
      <c r="E25" s="177"/>
      <c r="F25" s="199"/>
      <c r="G25" s="80">
        <f>B25-+C25</f>
        <v>179</v>
      </c>
    </row>
    <row r="28" spans="1:7" x14ac:dyDescent="0.4">
      <c r="A28" s="198" t="s">
        <v>281</v>
      </c>
      <c r="B28" s="177"/>
      <c r="C28" s="177"/>
      <c r="D28" s="177"/>
      <c r="E28" s="177"/>
      <c r="F28" s="177"/>
      <c r="G28" s="199"/>
    </row>
    <row r="29" spans="1:7" x14ac:dyDescent="0.4">
      <c r="A29" s="142" t="s">
        <v>275</v>
      </c>
      <c r="B29" s="16"/>
      <c r="C29" s="143"/>
      <c r="D29" s="148"/>
      <c r="E29" s="16"/>
      <c r="F29" s="148"/>
      <c r="G29" s="143" t="s">
        <v>274</v>
      </c>
    </row>
    <row r="30" spans="1:7" x14ac:dyDescent="0.4">
      <c r="A30" s="144" t="s">
        <v>282</v>
      </c>
      <c r="C30" s="145"/>
      <c r="D30" s="149">
        <f>B8</f>
        <v>700</v>
      </c>
      <c r="F30" s="149"/>
      <c r="G30" s="152">
        <f>A8</f>
        <v>45698</v>
      </c>
    </row>
    <row r="31" spans="1:7" x14ac:dyDescent="0.4">
      <c r="A31" s="144" t="s">
        <v>283</v>
      </c>
      <c r="C31" s="145"/>
      <c r="D31" s="149">
        <f>B7</f>
        <v>-300</v>
      </c>
      <c r="F31" s="149"/>
      <c r="G31" s="152">
        <f>A7</f>
        <v>45693</v>
      </c>
    </row>
    <row r="32" spans="1:7" x14ac:dyDescent="0.4">
      <c r="A32" s="144" t="s">
        <v>284</v>
      </c>
      <c r="C32" s="145"/>
      <c r="D32" s="149">
        <f>B9</f>
        <v>-100</v>
      </c>
      <c r="F32" s="149"/>
      <c r="G32" s="145" t="str">
        <f>A9</f>
        <v>2月28日①</v>
      </c>
    </row>
    <row r="33" spans="1:7" x14ac:dyDescent="0.4">
      <c r="A33" s="144" t="s">
        <v>285</v>
      </c>
      <c r="C33" s="145"/>
      <c r="D33" s="149"/>
      <c r="E33">
        <f>D30+D31+D32</f>
        <v>300</v>
      </c>
      <c r="F33" s="149"/>
      <c r="G33" s="145"/>
    </row>
    <row r="34" spans="1:7" x14ac:dyDescent="0.4">
      <c r="A34" s="144" t="s">
        <v>276</v>
      </c>
      <c r="C34" s="145"/>
      <c r="D34" s="149"/>
      <c r="F34" s="149"/>
      <c r="G34" s="145"/>
    </row>
    <row r="35" spans="1:7" x14ac:dyDescent="0.4">
      <c r="A35" s="144" t="s">
        <v>286</v>
      </c>
      <c r="C35" s="145"/>
      <c r="D35" s="149">
        <v>0</v>
      </c>
      <c r="F35" s="149"/>
      <c r="G35" s="145"/>
    </row>
    <row r="36" spans="1:7" x14ac:dyDescent="0.4">
      <c r="A36" s="144" t="s">
        <v>287</v>
      </c>
      <c r="C36" s="145"/>
      <c r="D36" s="149"/>
      <c r="E36">
        <f>D35</f>
        <v>0</v>
      </c>
      <c r="F36" s="149"/>
      <c r="G36" s="145"/>
    </row>
    <row r="37" spans="1:7" x14ac:dyDescent="0.4">
      <c r="A37" s="144" t="s">
        <v>277</v>
      </c>
      <c r="C37" s="145"/>
      <c r="D37" s="149"/>
      <c r="F37" s="149"/>
      <c r="G37" s="145"/>
    </row>
    <row r="38" spans="1:7" x14ac:dyDescent="0.4">
      <c r="A38" s="144" t="s">
        <v>288</v>
      </c>
      <c r="C38" s="145"/>
      <c r="D38" s="149">
        <v>0</v>
      </c>
      <c r="F38" s="149"/>
      <c r="G38" s="145"/>
    </row>
    <row r="39" spans="1:7" x14ac:dyDescent="0.4">
      <c r="A39" s="144" t="s">
        <v>289</v>
      </c>
      <c r="C39" s="145"/>
      <c r="D39" s="149">
        <v>0</v>
      </c>
      <c r="F39" s="149"/>
      <c r="G39" s="145"/>
    </row>
    <row r="40" spans="1:7" x14ac:dyDescent="0.4">
      <c r="A40" s="144" t="s">
        <v>290</v>
      </c>
      <c r="C40" s="145"/>
      <c r="D40" s="149"/>
      <c r="E40" s="141">
        <f>D38+D39</f>
        <v>0</v>
      </c>
      <c r="F40" s="149"/>
      <c r="G40" s="145"/>
    </row>
    <row r="41" spans="1:7" x14ac:dyDescent="0.4">
      <c r="A41" s="144" t="s">
        <v>278</v>
      </c>
      <c r="C41" s="145"/>
      <c r="D41" s="149"/>
      <c r="E41" s="141">
        <f>E33+E36+E40</f>
        <v>300</v>
      </c>
      <c r="F41" s="149"/>
      <c r="G41" s="145"/>
    </row>
    <row r="42" spans="1:7" x14ac:dyDescent="0.4">
      <c r="A42" s="144" t="s">
        <v>279</v>
      </c>
      <c r="C42" s="145"/>
      <c r="D42" s="149"/>
      <c r="E42">
        <f>B6</f>
        <v>760</v>
      </c>
      <c r="F42" s="149"/>
      <c r="G42" s="145"/>
    </row>
    <row r="43" spans="1:7" x14ac:dyDescent="0.4">
      <c r="A43" s="146" t="s">
        <v>280</v>
      </c>
      <c r="B43" s="10"/>
      <c r="C43" s="147"/>
      <c r="D43" s="150"/>
      <c r="E43" s="151">
        <f>E41+E42</f>
        <v>1060</v>
      </c>
      <c r="F43" s="150"/>
      <c r="G43" s="147"/>
    </row>
  </sheetData>
  <mergeCells count="12">
    <mergeCell ref="A15:G15"/>
    <mergeCell ref="L3:O3"/>
    <mergeCell ref="A3:J3"/>
    <mergeCell ref="A4:A5"/>
    <mergeCell ref="B4:E4"/>
    <mergeCell ref="F4:H4"/>
    <mergeCell ref="I4:J4"/>
    <mergeCell ref="A28:G28"/>
    <mergeCell ref="C16:F16"/>
    <mergeCell ref="C24:F24"/>
    <mergeCell ref="C25:F25"/>
    <mergeCell ref="A16:A1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7633-59CE-428F-92DA-A2DF29E07AFD}">
  <dimension ref="A1:F20"/>
  <sheetViews>
    <sheetView workbookViewId="0"/>
  </sheetViews>
  <sheetFormatPr defaultRowHeight="17.7" x14ac:dyDescent="0.4"/>
  <cols>
    <col min="1" max="1" width="5.88671875" customWidth="1"/>
    <col min="2" max="2" width="12.33203125" bestFit="1" customWidth="1"/>
    <col min="3" max="3" width="10.44140625" bestFit="1" customWidth="1"/>
    <col min="4" max="4" width="5.33203125" bestFit="1" customWidth="1"/>
    <col min="5" max="5" width="14.21875" bestFit="1" customWidth="1"/>
    <col min="6" max="6" width="8.44140625" bestFit="1" customWidth="1"/>
  </cols>
  <sheetData>
    <row r="1" spans="1:6" x14ac:dyDescent="0.4">
      <c r="A1" s="71" t="s">
        <v>330</v>
      </c>
    </row>
    <row r="3" spans="1:6" x14ac:dyDescent="0.4">
      <c r="A3" t="s">
        <v>306</v>
      </c>
    </row>
    <row r="4" spans="1:6" x14ac:dyDescent="0.4">
      <c r="B4" t="s">
        <v>307</v>
      </c>
      <c r="C4" t="s">
        <v>308</v>
      </c>
      <c r="D4" t="s">
        <v>309</v>
      </c>
      <c r="E4" t="s">
        <v>310</v>
      </c>
      <c r="F4" t="s">
        <v>311</v>
      </c>
    </row>
    <row r="5" spans="1:6" ht="19.05" x14ac:dyDescent="0.4">
      <c r="B5" s="163" t="s">
        <v>323</v>
      </c>
      <c r="C5" s="163" t="s">
        <v>324</v>
      </c>
      <c r="D5" s="163" t="s">
        <v>325</v>
      </c>
      <c r="E5" s="11" t="s">
        <v>322</v>
      </c>
      <c r="F5" s="163" t="s">
        <v>321</v>
      </c>
    </row>
    <row r="6" spans="1:6" x14ac:dyDescent="0.4">
      <c r="A6" s="16" t="s">
        <v>312</v>
      </c>
      <c r="B6" s="16">
        <v>100</v>
      </c>
      <c r="C6" s="16">
        <v>20</v>
      </c>
      <c r="D6" s="16">
        <v>10</v>
      </c>
      <c r="E6" s="16">
        <f>B6+C6-D6</f>
        <v>110</v>
      </c>
      <c r="F6" s="16">
        <f>C6-0.1*B6</f>
        <v>10</v>
      </c>
    </row>
    <row r="7" spans="1:6" x14ac:dyDescent="0.4">
      <c r="A7" t="s">
        <v>313</v>
      </c>
      <c r="B7">
        <v>110</v>
      </c>
      <c r="C7">
        <v>20</v>
      </c>
      <c r="D7">
        <v>10</v>
      </c>
      <c r="E7">
        <f t="shared" ref="E7:E9" si="0">B7+C7-D7</f>
        <v>120</v>
      </c>
      <c r="F7">
        <f>C7-0.1*B7</f>
        <v>9</v>
      </c>
    </row>
    <row r="8" spans="1:6" x14ac:dyDescent="0.4">
      <c r="A8" t="s">
        <v>314</v>
      </c>
      <c r="B8">
        <v>120</v>
      </c>
      <c r="C8">
        <v>20</v>
      </c>
      <c r="D8">
        <v>10</v>
      </c>
      <c r="E8">
        <f t="shared" si="0"/>
        <v>130</v>
      </c>
      <c r="F8">
        <f>C8-0.1*B8</f>
        <v>8</v>
      </c>
    </row>
    <row r="9" spans="1:6" x14ac:dyDescent="0.4">
      <c r="A9" t="s">
        <v>315</v>
      </c>
      <c r="B9">
        <v>130</v>
      </c>
      <c r="C9">
        <v>20</v>
      </c>
      <c r="D9">
        <v>10</v>
      </c>
      <c r="E9">
        <f t="shared" si="0"/>
        <v>140</v>
      </c>
      <c r="F9">
        <f>C9-0.1*B9</f>
        <v>7</v>
      </c>
    </row>
    <row r="10" spans="1:6" x14ac:dyDescent="0.4">
      <c r="A10" s="10" t="s">
        <v>316</v>
      </c>
      <c r="B10" s="10">
        <v>140</v>
      </c>
      <c r="C10" s="10">
        <v>20</v>
      </c>
      <c r="D10" s="10">
        <v>10</v>
      </c>
      <c r="E10" s="10">
        <v>150</v>
      </c>
      <c r="F10" s="10">
        <f>C10-0.1*B10</f>
        <v>6</v>
      </c>
    </row>
    <row r="11" spans="1:6" x14ac:dyDescent="0.4">
      <c r="A11" t="s">
        <v>317</v>
      </c>
    </row>
    <row r="12" spans="1:6" ht="19.7" x14ac:dyDescent="0.4">
      <c r="A12" t="s">
        <v>318</v>
      </c>
    </row>
    <row r="13" spans="1:6" ht="19.05" x14ac:dyDescent="0.4">
      <c r="A13" t="s">
        <v>320</v>
      </c>
    </row>
    <row r="14" spans="1:6" ht="19.7" x14ac:dyDescent="0.4">
      <c r="A14" t="s">
        <v>319</v>
      </c>
    </row>
    <row r="16" spans="1:6" x14ac:dyDescent="0.4">
      <c r="A16" t="s">
        <v>326</v>
      </c>
    </row>
    <row r="17" spans="1:2" ht="19.7" x14ac:dyDescent="0.4">
      <c r="A17" s="11" t="s">
        <v>328</v>
      </c>
      <c r="B17" s="164">
        <f>D6/1.1+D7/1.1^2+D8/1.1^3+D9/1.1^4+D10/1.1^5+120/1.1^5</f>
        <v>112.41842646118307</v>
      </c>
    </row>
    <row r="19" spans="1:2" x14ac:dyDescent="0.4">
      <c r="A19" t="s">
        <v>327</v>
      </c>
    </row>
    <row r="20" spans="1:2" ht="19.7" x14ac:dyDescent="0.4">
      <c r="A20" s="11" t="s">
        <v>328</v>
      </c>
      <c r="B20" s="164">
        <f>B6+F6/1.1+F7/1.1^2+F8/1.1^3+F9/1.1^4+F10/1.1^5+(120-150)/1.1^5</f>
        <v>112.41842646118312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G21"/>
  <sheetViews>
    <sheetView zoomScaleNormal="100" workbookViewId="0">
      <selection activeCell="F24" sqref="F24"/>
    </sheetView>
  </sheetViews>
  <sheetFormatPr defaultColWidth="8.6640625" defaultRowHeight="17.7" x14ac:dyDescent="0.4"/>
  <cols>
    <col min="1" max="1" width="19.88671875" style="11" customWidth="1"/>
    <col min="2" max="7" width="11.6640625" style="11" customWidth="1"/>
    <col min="8" max="8" width="8.6640625" style="11"/>
    <col min="9" max="9" width="13.44140625" style="11" customWidth="1"/>
    <col min="10" max="15" width="11" style="11" customWidth="1"/>
    <col min="16" max="16384" width="8.6640625" style="11"/>
  </cols>
  <sheetData>
    <row r="1" spans="1:7" x14ac:dyDescent="0.4">
      <c r="A1" s="67" t="s">
        <v>67</v>
      </c>
      <c r="B1" s="10"/>
      <c r="C1" s="10"/>
      <c r="D1" s="10"/>
      <c r="E1" s="10"/>
      <c r="F1" s="10"/>
      <c r="G1" s="10"/>
    </row>
    <row r="2" spans="1:7" x14ac:dyDescent="0.4">
      <c r="B2" s="157">
        <v>36526</v>
      </c>
      <c r="C2" s="157">
        <v>36891</v>
      </c>
      <c r="D2" s="157">
        <v>37256</v>
      </c>
      <c r="E2" s="157">
        <v>37621</v>
      </c>
      <c r="F2" s="157">
        <v>37986</v>
      </c>
      <c r="G2" s="157">
        <v>38352</v>
      </c>
    </row>
    <row r="3" spans="1:7" x14ac:dyDescent="0.4">
      <c r="A3" s="10"/>
      <c r="B3" s="158" t="s">
        <v>28</v>
      </c>
      <c r="C3" s="158" t="s">
        <v>7</v>
      </c>
      <c r="D3" s="158" t="s">
        <v>8</v>
      </c>
      <c r="E3" s="158" t="s">
        <v>9</v>
      </c>
      <c r="F3" s="158" t="s">
        <v>10</v>
      </c>
      <c r="G3" s="158" t="s">
        <v>11</v>
      </c>
    </row>
    <row r="4" spans="1:7" x14ac:dyDescent="0.4">
      <c r="A4" s="11" t="s">
        <v>74</v>
      </c>
      <c r="B4" s="65">
        <v>-10000</v>
      </c>
      <c r="C4" s="65">
        <v>2500</v>
      </c>
      <c r="D4" s="65">
        <v>2500</v>
      </c>
      <c r="E4" s="65">
        <v>2500</v>
      </c>
      <c r="F4" s="65">
        <v>2500</v>
      </c>
      <c r="G4" s="65">
        <v>2500</v>
      </c>
    </row>
    <row r="5" spans="1:7" x14ac:dyDescent="0.4">
      <c r="A5" s="11" t="s">
        <v>75</v>
      </c>
      <c r="B5" s="5">
        <v>-10000</v>
      </c>
      <c r="C5" s="5"/>
      <c r="D5" s="5"/>
      <c r="E5" s="5"/>
      <c r="F5" s="5"/>
      <c r="G5" s="5"/>
    </row>
    <row r="6" spans="1:7" x14ac:dyDescent="0.4">
      <c r="A6" s="69" t="s">
        <v>76</v>
      </c>
      <c r="B6" s="13"/>
      <c r="C6" s="13">
        <v>2500</v>
      </c>
      <c r="D6" s="13">
        <v>2500</v>
      </c>
      <c r="E6" s="13">
        <v>2500</v>
      </c>
      <c r="F6" s="13">
        <v>2500</v>
      </c>
      <c r="G6" s="13">
        <v>2500</v>
      </c>
    </row>
    <row r="8" spans="1:7" x14ac:dyDescent="0.4">
      <c r="A8" s="69" t="s">
        <v>6</v>
      </c>
      <c r="B8" s="69"/>
      <c r="C8" s="69"/>
      <c r="D8" s="69"/>
      <c r="E8" s="69"/>
      <c r="F8" s="69"/>
      <c r="G8" s="69"/>
    </row>
    <row r="9" spans="1:7" x14ac:dyDescent="0.4">
      <c r="A9" s="11" t="s">
        <v>12</v>
      </c>
      <c r="B9" s="11">
        <v>0</v>
      </c>
    </row>
    <row r="10" spans="1:7" x14ac:dyDescent="0.4">
      <c r="A10" s="71">
        <v>0</v>
      </c>
    </row>
    <row r="11" spans="1:7" x14ac:dyDescent="0.4">
      <c r="A11" s="11" t="s">
        <v>13</v>
      </c>
      <c r="B11" s="11">
        <v>0</v>
      </c>
      <c r="C11" s="5">
        <f>C4</f>
        <v>2500</v>
      </c>
    </row>
    <row r="12" spans="1:7" x14ac:dyDescent="0.4">
      <c r="A12" s="65">
        <f>C11</f>
        <v>2500</v>
      </c>
      <c r="C12" s="12" t="s">
        <v>66</v>
      </c>
      <c r="D12" s="12"/>
      <c r="E12" s="12"/>
      <c r="F12" s="12"/>
    </row>
    <row r="13" spans="1:7" x14ac:dyDescent="0.4">
      <c r="A13" s="11" t="s">
        <v>14</v>
      </c>
      <c r="B13" s="11">
        <v>0</v>
      </c>
      <c r="C13" s="14">
        <f>C11*1.05</f>
        <v>2625</v>
      </c>
      <c r="D13" s="12">
        <f>D4</f>
        <v>2500</v>
      </c>
      <c r="E13" s="12"/>
      <c r="F13" s="12"/>
    </row>
    <row r="14" spans="1:7" x14ac:dyDescent="0.4">
      <c r="A14" s="66">
        <f>C13+D13</f>
        <v>5125</v>
      </c>
      <c r="C14" s="12" t="s">
        <v>57</v>
      </c>
      <c r="D14" s="12" t="s">
        <v>57</v>
      </c>
      <c r="E14" s="12"/>
      <c r="F14" s="12"/>
    </row>
    <row r="15" spans="1:7" x14ac:dyDescent="0.4">
      <c r="A15" s="11" t="s">
        <v>15</v>
      </c>
      <c r="B15" s="11">
        <v>0</v>
      </c>
      <c r="C15" s="14">
        <f>C13*1.05</f>
        <v>2756.25</v>
      </c>
      <c r="D15" s="14">
        <f>D13*1.05</f>
        <v>2625</v>
      </c>
      <c r="E15" s="14">
        <f>E4</f>
        <v>2500</v>
      </c>
      <c r="F15" s="12"/>
    </row>
    <row r="16" spans="1:7" x14ac:dyDescent="0.4">
      <c r="A16" s="66">
        <f>C15+D15+E15</f>
        <v>7881.25</v>
      </c>
      <c r="C16" s="12" t="s">
        <v>57</v>
      </c>
      <c r="D16" s="12" t="s">
        <v>57</v>
      </c>
      <c r="E16" s="12" t="s">
        <v>57</v>
      </c>
      <c r="F16" s="12"/>
    </row>
    <row r="17" spans="1:7" x14ac:dyDescent="0.4">
      <c r="A17" s="11" t="s">
        <v>16</v>
      </c>
      <c r="B17" s="11">
        <v>0</v>
      </c>
      <c r="C17" s="14">
        <f>C15*1.05</f>
        <v>2894.0625</v>
      </c>
      <c r="D17" s="14">
        <f>D15*1.05</f>
        <v>2756.25</v>
      </c>
      <c r="E17" s="14">
        <f>E15*1.05</f>
        <v>2625</v>
      </c>
      <c r="F17" s="14">
        <f>F4</f>
        <v>2500</v>
      </c>
    </row>
    <row r="18" spans="1:7" x14ac:dyDescent="0.4">
      <c r="A18" s="66">
        <f>C17+D17+E17+F17</f>
        <v>10775.3125</v>
      </c>
      <c r="C18" s="12" t="s">
        <v>57</v>
      </c>
      <c r="D18" s="12" t="s">
        <v>57</v>
      </c>
      <c r="E18" s="12" t="s">
        <v>57</v>
      </c>
      <c r="F18" s="12" t="s">
        <v>57</v>
      </c>
    </row>
    <row r="19" spans="1:7" x14ac:dyDescent="0.4">
      <c r="A19" s="11" t="s">
        <v>17</v>
      </c>
      <c r="B19" s="11">
        <v>0</v>
      </c>
      <c r="C19" s="14">
        <f>C17*1.05</f>
        <v>3038.765625</v>
      </c>
      <c r="D19" s="14">
        <f>D17*1.05</f>
        <v>2894.0625</v>
      </c>
      <c r="E19" s="14">
        <f>E17*1.05</f>
        <v>2756.25</v>
      </c>
      <c r="F19" s="14">
        <f>F17*1.05</f>
        <v>2625</v>
      </c>
      <c r="G19" s="5">
        <f>G4</f>
        <v>2500</v>
      </c>
    </row>
    <row r="20" spans="1:7" x14ac:dyDescent="0.4">
      <c r="A20" s="68">
        <f>C19+D19+E19+F19+G19</f>
        <v>13814.078125</v>
      </c>
      <c r="B20" s="69"/>
      <c r="C20" s="70"/>
      <c r="D20" s="70"/>
      <c r="E20" s="70"/>
      <c r="F20" s="70"/>
      <c r="G20" s="13"/>
    </row>
    <row r="21" spans="1:7" x14ac:dyDescent="0.4">
      <c r="A21" s="11" t="s">
        <v>70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2"/>
  <sheetViews>
    <sheetView topLeftCell="A73" zoomScale="85" zoomScaleNormal="85" workbookViewId="0">
      <selection activeCell="J53" sqref="J53"/>
    </sheetView>
  </sheetViews>
  <sheetFormatPr defaultColWidth="8.6640625" defaultRowHeight="17.7" x14ac:dyDescent="0.4"/>
  <cols>
    <col min="1" max="1" width="19.88671875" style="11" customWidth="1"/>
    <col min="2" max="7" width="13.5546875" style="11" customWidth="1"/>
    <col min="8" max="8" width="8.6640625" style="11"/>
    <col min="9" max="9" width="13.44140625" style="11" customWidth="1"/>
    <col min="10" max="15" width="11" style="11" customWidth="1"/>
    <col min="16" max="16384" width="8.6640625" style="11"/>
  </cols>
  <sheetData>
    <row r="1" spans="1:7" x14ac:dyDescent="0.4">
      <c r="A1" s="71" t="s">
        <v>85</v>
      </c>
    </row>
    <row r="2" spans="1:7" ht="37.049999999999997" customHeight="1" x14ac:dyDescent="0.4">
      <c r="A2" s="174" t="s">
        <v>99</v>
      </c>
      <c r="B2" s="174"/>
      <c r="C2" s="174"/>
      <c r="D2" s="174"/>
      <c r="E2" s="174"/>
      <c r="F2" s="174"/>
      <c r="G2" s="174"/>
    </row>
    <row r="3" spans="1:7" x14ac:dyDescent="0.4">
      <c r="A3" s="71"/>
    </row>
    <row r="4" spans="1:7" x14ac:dyDescent="0.4">
      <c r="A4" s="67" t="s">
        <v>86</v>
      </c>
      <c r="B4" s="10"/>
      <c r="C4" s="10"/>
      <c r="D4" s="10"/>
      <c r="E4" s="10"/>
      <c r="F4" s="10"/>
      <c r="G4" s="10"/>
    </row>
    <row r="5" spans="1:7" s="73" customFormat="1" x14ac:dyDescent="0.4">
      <c r="A5" s="11"/>
      <c r="B5" s="157">
        <v>36526</v>
      </c>
      <c r="C5" s="157">
        <v>36891</v>
      </c>
      <c r="D5" s="157">
        <v>37256</v>
      </c>
      <c r="E5" s="157">
        <v>37621</v>
      </c>
      <c r="F5" s="157">
        <v>37986</v>
      </c>
      <c r="G5" s="157">
        <v>38352</v>
      </c>
    </row>
    <row r="6" spans="1:7" s="73" customFormat="1" x14ac:dyDescent="0.4">
      <c r="A6"/>
      <c r="B6" s="9" t="s">
        <v>28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7" x14ac:dyDescent="0.4">
      <c r="A7" s="69"/>
      <c r="B7" s="15">
        <v>-10000</v>
      </c>
      <c r="C7" s="15">
        <v>2500</v>
      </c>
      <c r="D7" s="15">
        <v>2500</v>
      </c>
      <c r="E7" s="15">
        <v>2500</v>
      </c>
      <c r="F7" s="15">
        <v>2500</v>
      </c>
      <c r="G7" s="15">
        <v>2500</v>
      </c>
    </row>
    <row r="8" spans="1:7" x14ac:dyDescent="0.4">
      <c r="B8" s="65"/>
      <c r="C8" s="65"/>
      <c r="D8" s="65"/>
      <c r="E8" s="65"/>
      <c r="F8" s="65"/>
      <c r="G8" s="65"/>
    </row>
    <row r="9" spans="1:7" x14ac:dyDescent="0.4">
      <c r="A9" s="67" t="s">
        <v>87</v>
      </c>
      <c r="B9" s="10"/>
      <c r="C9" s="10"/>
      <c r="D9" s="10"/>
      <c r="E9" s="10"/>
      <c r="F9" s="10"/>
      <c r="G9" s="10"/>
    </row>
    <row r="10" spans="1:7" x14ac:dyDescent="0.4">
      <c r="B10" s="157">
        <v>36526</v>
      </c>
      <c r="C10" s="157">
        <v>36891</v>
      </c>
      <c r="D10" s="157">
        <v>37256</v>
      </c>
      <c r="E10" s="157">
        <v>37621</v>
      </c>
      <c r="F10" s="157">
        <v>37986</v>
      </c>
      <c r="G10" s="157">
        <v>38352</v>
      </c>
    </row>
    <row r="11" spans="1:7" x14ac:dyDescent="0.4">
      <c r="B11" s="12" t="s">
        <v>28</v>
      </c>
      <c r="C11" s="12" t="s">
        <v>7</v>
      </c>
      <c r="D11" s="12" t="s">
        <v>8</v>
      </c>
      <c r="E11" s="12" t="s">
        <v>9</v>
      </c>
      <c r="F11" s="12" t="s">
        <v>10</v>
      </c>
      <c r="G11" s="12" t="s">
        <v>11</v>
      </c>
    </row>
    <row r="12" spans="1:7" x14ac:dyDescent="0.4">
      <c r="A12" s="10" t="s">
        <v>35</v>
      </c>
      <c r="B12" s="78">
        <v>10000</v>
      </c>
      <c r="C12" s="78">
        <f>B12*1.07</f>
        <v>10700</v>
      </c>
      <c r="D12" s="78">
        <f>C12*1.07</f>
        <v>11449</v>
      </c>
      <c r="E12" s="78">
        <f>D12*1.07</f>
        <v>12250.43</v>
      </c>
      <c r="F12" s="78">
        <f>E12*1.07</f>
        <v>13107.9601</v>
      </c>
      <c r="G12" s="79">
        <f>F12*1.07</f>
        <v>14025.517307000002</v>
      </c>
    </row>
    <row r="16" spans="1:7" x14ac:dyDescent="0.4">
      <c r="B16" s="65"/>
      <c r="C16" s="65"/>
      <c r="D16" s="65"/>
      <c r="E16" s="65"/>
      <c r="F16" s="65"/>
      <c r="G16" s="65"/>
    </row>
    <row r="17" spans="1:7" x14ac:dyDescent="0.4">
      <c r="A17" s="67" t="s">
        <v>90</v>
      </c>
      <c r="B17" s="10"/>
      <c r="C17" s="10"/>
      <c r="D17" s="10"/>
      <c r="E17" s="10"/>
      <c r="F17" s="10"/>
      <c r="G17" s="10"/>
    </row>
    <row r="18" spans="1:7" x14ac:dyDescent="0.4">
      <c r="A18" s="73"/>
      <c r="B18" s="157">
        <v>36526</v>
      </c>
      <c r="C18" s="157">
        <v>36891</v>
      </c>
      <c r="D18" s="157">
        <v>37256</v>
      </c>
      <c r="E18" s="157">
        <v>37621</v>
      </c>
      <c r="F18" s="157">
        <v>37986</v>
      </c>
      <c r="G18" s="157">
        <v>38352</v>
      </c>
    </row>
    <row r="19" spans="1:7" x14ac:dyDescent="0.4">
      <c r="A19" s="4"/>
      <c r="B19" s="9" t="s">
        <v>28</v>
      </c>
      <c r="C19" s="9" t="s">
        <v>7</v>
      </c>
      <c r="D19" s="9" t="s">
        <v>8</v>
      </c>
      <c r="E19" s="9" t="s">
        <v>9</v>
      </c>
      <c r="F19" s="9" t="s">
        <v>10</v>
      </c>
      <c r="G19" s="9" t="s">
        <v>11</v>
      </c>
    </row>
    <row r="20" spans="1:7" x14ac:dyDescent="0.4">
      <c r="A20" s="11" t="s">
        <v>29</v>
      </c>
      <c r="B20" s="5">
        <v>-10000</v>
      </c>
      <c r="C20" s="5">
        <v>2500</v>
      </c>
      <c r="D20" s="5">
        <v>2500</v>
      </c>
      <c r="E20" s="5">
        <v>2500</v>
      </c>
      <c r="F20" s="5">
        <v>2500</v>
      </c>
      <c r="G20" s="5">
        <v>2500</v>
      </c>
    </row>
    <row r="22" spans="1:7" x14ac:dyDescent="0.4">
      <c r="A22" s="11" t="s">
        <v>6</v>
      </c>
    </row>
    <row r="23" spans="1:7" x14ac:dyDescent="0.4">
      <c r="A23" s="11" t="s">
        <v>12</v>
      </c>
      <c r="B23" s="11">
        <v>0</v>
      </c>
    </row>
    <row r="24" spans="1:7" x14ac:dyDescent="0.4">
      <c r="A24" s="71">
        <v>0</v>
      </c>
    </row>
    <row r="25" spans="1:7" x14ac:dyDescent="0.4">
      <c r="A25" s="11" t="s">
        <v>13</v>
      </c>
      <c r="B25" s="11">
        <v>0</v>
      </c>
      <c r="C25" s="5">
        <f>C20</f>
        <v>2500</v>
      </c>
    </row>
    <row r="26" spans="1:7" x14ac:dyDescent="0.4">
      <c r="A26" s="65">
        <f>C25</f>
        <v>2500</v>
      </c>
      <c r="C26" s="12" t="s">
        <v>57</v>
      </c>
      <c r="D26" s="12"/>
      <c r="E26" s="12"/>
      <c r="F26" s="12"/>
    </row>
    <row r="27" spans="1:7" x14ac:dyDescent="0.4">
      <c r="A27" s="11" t="s">
        <v>14</v>
      </c>
      <c r="B27" s="11">
        <v>0</v>
      </c>
      <c r="C27" s="14">
        <f>C25*1.07</f>
        <v>2675</v>
      </c>
      <c r="D27" s="12">
        <f>D20</f>
        <v>2500</v>
      </c>
      <c r="E27" s="12"/>
      <c r="F27" s="12"/>
    </row>
    <row r="28" spans="1:7" x14ac:dyDescent="0.4">
      <c r="A28" s="66">
        <f>C27+D27</f>
        <v>5175</v>
      </c>
      <c r="C28" s="12" t="s">
        <v>57</v>
      </c>
      <c r="D28" s="12" t="s">
        <v>57</v>
      </c>
      <c r="E28" s="12"/>
      <c r="F28" s="12"/>
    </row>
    <row r="29" spans="1:7" x14ac:dyDescent="0.4">
      <c r="A29" s="11" t="s">
        <v>15</v>
      </c>
      <c r="B29" s="11">
        <v>0</v>
      </c>
      <c r="C29" s="14">
        <f>C27*1.07</f>
        <v>2862.25</v>
      </c>
      <c r="D29" s="14">
        <f>D27*1.07</f>
        <v>2675</v>
      </c>
      <c r="E29" s="14">
        <f>E20</f>
        <v>2500</v>
      </c>
      <c r="F29" s="12"/>
    </row>
    <row r="30" spans="1:7" x14ac:dyDescent="0.4">
      <c r="A30" s="66">
        <f>C29+D29+E29</f>
        <v>8037.25</v>
      </c>
      <c r="C30" s="12" t="s">
        <v>57</v>
      </c>
      <c r="D30" s="12" t="s">
        <v>57</v>
      </c>
      <c r="E30" s="12" t="s">
        <v>57</v>
      </c>
      <c r="F30" s="12"/>
    </row>
    <row r="31" spans="1:7" ht="18.55" customHeight="1" x14ac:dyDescent="0.4">
      <c r="A31" s="11" t="s">
        <v>16</v>
      </c>
      <c r="B31" s="11">
        <v>0</v>
      </c>
      <c r="C31" s="14">
        <f>C29*1.07</f>
        <v>3062.6075000000001</v>
      </c>
      <c r="D31" s="14">
        <f>D29*1.07</f>
        <v>2862.25</v>
      </c>
      <c r="E31" s="14">
        <f>E29*1.07</f>
        <v>2675</v>
      </c>
      <c r="F31" s="14">
        <f>F20</f>
        <v>2500</v>
      </c>
    </row>
    <row r="32" spans="1:7" x14ac:dyDescent="0.4">
      <c r="A32" s="66">
        <f>C31+D31+E31+F31</f>
        <v>11099.8575</v>
      </c>
      <c r="C32" s="12" t="s">
        <v>57</v>
      </c>
      <c r="D32" s="12" t="s">
        <v>57</v>
      </c>
      <c r="E32" s="12" t="s">
        <v>57</v>
      </c>
      <c r="F32" s="12" t="s">
        <v>57</v>
      </c>
    </row>
    <row r="33" spans="1:7" x14ac:dyDescent="0.4">
      <c r="A33" s="11" t="s">
        <v>17</v>
      </c>
      <c r="B33" s="11">
        <v>0</v>
      </c>
      <c r="C33" s="14">
        <f>C31*1.07</f>
        <v>3276.9900250000001</v>
      </c>
      <c r="D33" s="14">
        <f>D31*1.07</f>
        <v>3062.6075000000001</v>
      </c>
      <c r="E33" s="14">
        <f>E31*1.07</f>
        <v>2862.25</v>
      </c>
      <c r="F33" s="14">
        <f>F31*1.07</f>
        <v>2675</v>
      </c>
      <c r="G33" s="5">
        <f>G20</f>
        <v>2500</v>
      </c>
    </row>
    <row r="34" spans="1:7" x14ac:dyDescent="0.4">
      <c r="A34" s="66">
        <f>C33+D33+E33+F33+G33</f>
        <v>14376.847525000001</v>
      </c>
      <c r="C34" s="14"/>
      <c r="D34" s="14"/>
      <c r="E34" s="14"/>
      <c r="F34" s="14"/>
      <c r="G34" s="5"/>
    </row>
    <row r="35" spans="1:7" ht="28.55" customHeight="1" x14ac:dyDescent="0.4">
      <c r="A35" s="17" t="s">
        <v>31</v>
      </c>
      <c r="B35" s="17">
        <v>0</v>
      </c>
      <c r="C35" s="20">
        <f>C33</f>
        <v>3276.9900250000001</v>
      </c>
      <c r="D35" s="20">
        <f>C35+D33</f>
        <v>6339.5975250000001</v>
      </c>
      <c r="E35" s="20">
        <f>D35+E33</f>
        <v>9201.847525000001</v>
      </c>
      <c r="F35" s="20">
        <f>E35+F33</f>
        <v>11876.847525000001</v>
      </c>
      <c r="G35" s="19">
        <f>F35+G33</f>
        <v>14376.847525000001</v>
      </c>
    </row>
    <row r="36" spans="1:7" x14ac:dyDescent="0.4">
      <c r="A36" s="11" t="s">
        <v>70</v>
      </c>
    </row>
    <row r="38" spans="1:7" x14ac:dyDescent="0.4">
      <c r="A38" s="71" t="s">
        <v>89</v>
      </c>
    </row>
    <row r="39" spans="1:7" ht="35" customHeight="1" x14ac:dyDescent="0.4">
      <c r="A39" s="174" t="s">
        <v>91</v>
      </c>
      <c r="B39" s="174"/>
      <c r="C39" s="174"/>
      <c r="D39" s="174"/>
      <c r="E39" s="174"/>
      <c r="F39" s="174"/>
      <c r="G39" s="174"/>
    </row>
    <row r="40" spans="1:7" x14ac:dyDescent="0.4">
      <c r="A40" s="71"/>
    </row>
    <row r="42" spans="1:7" x14ac:dyDescent="0.4">
      <c r="A42" s="67" t="s">
        <v>88</v>
      </c>
      <c r="B42" s="10"/>
      <c r="C42" s="10"/>
      <c r="D42" s="10"/>
      <c r="E42" s="10"/>
      <c r="F42" s="10"/>
      <c r="G42" s="10"/>
    </row>
    <row r="43" spans="1:7" x14ac:dyDescent="0.4">
      <c r="B43" s="157">
        <v>36526</v>
      </c>
      <c r="C43" s="157">
        <v>36891</v>
      </c>
      <c r="D43" s="157">
        <v>37256</v>
      </c>
      <c r="E43" s="157">
        <v>37621</v>
      </c>
      <c r="F43" s="157">
        <v>37986</v>
      </c>
      <c r="G43" s="157">
        <v>38352</v>
      </c>
    </row>
    <row r="44" spans="1:7" x14ac:dyDescent="0.4">
      <c r="B44" s="12" t="s">
        <v>28</v>
      </c>
      <c r="C44" s="12" t="s">
        <v>7</v>
      </c>
      <c r="D44" s="12" t="s">
        <v>8</v>
      </c>
      <c r="E44" s="12" t="s">
        <v>9</v>
      </c>
      <c r="F44" s="12" t="s">
        <v>10</v>
      </c>
      <c r="G44" s="12" t="s">
        <v>11</v>
      </c>
    </row>
    <row r="45" spans="1:7" x14ac:dyDescent="0.4">
      <c r="A45" s="10" t="s">
        <v>35</v>
      </c>
      <c r="B45" s="13">
        <v>10000</v>
      </c>
      <c r="C45" s="13">
        <f>B45*1.1</f>
        <v>11000</v>
      </c>
      <c r="D45" s="13">
        <f>C45*1.1</f>
        <v>12100.000000000002</v>
      </c>
      <c r="E45" s="13">
        <f>D45*1.1</f>
        <v>13310.000000000004</v>
      </c>
      <c r="F45" s="13">
        <f>E45*1.1</f>
        <v>14641.000000000005</v>
      </c>
      <c r="G45" s="15">
        <f>F45*1.1</f>
        <v>16105.100000000008</v>
      </c>
    </row>
    <row r="50" spans="1:7" x14ac:dyDescent="0.4">
      <c r="A50" s="71" t="s">
        <v>302</v>
      </c>
      <c r="B50"/>
      <c r="C50"/>
      <c r="D50"/>
      <c r="E50"/>
      <c r="F50"/>
      <c r="G50"/>
    </row>
    <row r="51" spans="1:7" x14ac:dyDescent="0.4">
      <c r="A51" s="74"/>
      <c r="B51" s="159">
        <v>36526</v>
      </c>
      <c r="C51" s="159">
        <v>36891</v>
      </c>
      <c r="D51" s="159">
        <v>37256</v>
      </c>
      <c r="E51" s="159">
        <v>37621</v>
      </c>
      <c r="F51" s="159">
        <v>37986</v>
      </c>
      <c r="G51" s="159">
        <v>38352</v>
      </c>
    </row>
    <row r="52" spans="1:7" x14ac:dyDescent="0.4">
      <c r="A52" s="4"/>
      <c r="B52" s="12" t="s">
        <v>28</v>
      </c>
      <c r="C52" s="12" t="s">
        <v>7</v>
      </c>
      <c r="D52" s="12" t="s">
        <v>8</v>
      </c>
      <c r="E52" s="12" t="s">
        <v>9</v>
      </c>
      <c r="F52" s="12" t="s">
        <v>10</v>
      </c>
      <c r="G52" s="12" t="s">
        <v>11</v>
      </c>
    </row>
    <row r="53" spans="1:7" x14ac:dyDescent="0.4">
      <c r="A53" s="11" t="s">
        <v>29</v>
      </c>
      <c r="B53" s="5">
        <v>-10000</v>
      </c>
      <c r="C53" s="5">
        <v>2500</v>
      </c>
      <c r="D53" s="5">
        <v>2500</v>
      </c>
      <c r="E53" s="5">
        <v>2500</v>
      </c>
      <c r="F53" s="5">
        <v>2500</v>
      </c>
      <c r="G53" s="5">
        <v>2500</v>
      </c>
    </row>
    <row r="55" spans="1:7" x14ac:dyDescent="0.4">
      <c r="A55" s="11" t="s">
        <v>6</v>
      </c>
    </row>
    <row r="56" spans="1:7" x14ac:dyDescent="0.4">
      <c r="A56" s="11" t="s">
        <v>12</v>
      </c>
      <c r="B56" s="5">
        <v>0</v>
      </c>
    </row>
    <row r="57" spans="1:7" x14ac:dyDescent="0.4">
      <c r="A57" s="65">
        <v>0</v>
      </c>
      <c r="B57" s="5"/>
    </row>
    <row r="58" spans="1:7" x14ac:dyDescent="0.4">
      <c r="A58" s="11" t="s">
        <v>13</v>
      </c>
      <c r="B58" s="5">
        <v>0</v>
      </c>
      <c r="C58" s="5">
        <f>C53</f>
        <v>2500</v>
      </c>
    </row>
    <row r="59" spans="1:7" x14ac:dyDescent="0.4">
      <c r="A59" s="65">
        <f>C58</f>
        <v>2500</v>
      </c>
      <c r="B59" s="5"/>
      <c r="C59" s="12" t="s">
        <v>30</v>
      </c>
      <c r="D59" s="12"/>
      <c r="E59" s="12"/>
      <c r="F59" s="12"/>
    </row>
    <row r="60" spans="1:7" x14ac:dyDescent="0.4">
      <c r="A60" s="11" t="s">
        <v>14</v>
      </c>
      <c r="B60" s="5">
        <v>0</v>
      </c>
      <c r="C60" s="14">
        <f>C58*1.1</f>
        <v>2750</v>
      </c>
      <c r="D60" s="14">
        <f>D53</f>
        <v>2500</v>
      </c>
      <c r="E60" s="12"/>
      <c r="F60" s="12"/>
    </row>
    <row r="61" spans="1:7" x14ac:dyDescent="0.4">
      <c r="A61" s="66">
        <f>C60+D60</f>
        <v>5250</v>
      </c>
      <c r="B61" s="5"/>
      <c r="C61" s="12" t="s">
        <v>30</v>
      </c>
      <c r="D61" s="12" t="s">
        <v>30</v>
      </c>
      <c r="E61" s="12"/>
      <c r="F61" s="12"/>
    </row>
    <row r="62" spans="1:7" x14ac:dyDescent="0.4">
      <c r="A62" s="11" t="s">
        <v>15</v>
      </c>
      <c r="B62" s="5">
        <v>0</v>
      </c>
      <c r="C62" s="14">
        <f>C60*1.1</f>
        <v>3025.0000000000005</v>
      </c>
      <c r="D62" s="14">
        <f>D60*1.1</f>
        <v>2750</v>
      </c>
      <c r="E62" s="14">
        <f>E53</f>
        <v>2500</v>
      </c>
      <c r="F62" s="12"/>
    </row>
    <row r="63" spans="1:7" ht="18.55" customHeight="1" x14ac:dyDescent="0.4">
      <c r="A63" s="66">
        <f>C62+D62+E62</f>
        <v>8275</v>
      </c>
      <c r="B63" s="5"/>
      <c r="C63" s="12" t="s">
        <v>30</v>
      </c>
      <c r="D63" s="12" t="s">
        <v>30</v>
      </c>
      <c r="E63" s="12" t="s">
        <v>30</v>
      </c>
      <c r="F63" s="12"/>
    </row>
    <row r="64" spans="1:7" x14ac:dyDescent="0.4">
      <c r="A64" s="11" t="s">
        <v>16</v>
      </c>
      <c r="B64" s="5">
        <v>0</v>
      </c>
      <c r="C64" s="14">
        <f>C62*1.1</f>
        <v>3327.5000000000009</v>
      </c>
      <c r="D64" s="14">
        <f>D62*1.1</f>
        <v>3025.0000000000005</v>
      </c>
      <c r="E64" s="14">
        <f>E62*1.1</f>
        <v>2750</v>
      </c>
      <c r="F64" s="14">
        <f>F53</f>
        <v>2500</v>
      </c>
    </row>
    <row r="65" spans="1:7" x14ac:dyDescent="0.4">
      <c r="A65" s="66">
        <f>C64+D64+E64+F64</f>
        <v>11602.500000000002</v>
      </c>
      <c r="B65" s="5"/>
      <c r="C65" s="12" t="s">
        <v>30</v>
      </c>
      <c r="D65" s="12" t="s">
        <v>30</v>
      </c>
      <c r="E65" s="12" t="s">
        <v>30</v>
      </c>
      <c r="F65" s="12" t="s">
        <v>30</v>
      </c>
    </row>
    <row r="66" spans="1:7" x14ac:dyDescent="0.4">
      <c r="A66" s="11" t="s">
        <v>17</v>
      </c>
      <c r="B66" s="5">
        <v>0</v>
      </c>
      <c r="C66" s="14">
        <f>C64*1.1</f>
        <v>3660.2500000000014</v>
      </c>
      <c r="D66" s="14">
        <f>D64*1.1</f>
        <v>3327.5000000000009</v>
      </c>
      <c r="E66" s="14">
        <f>E64*1.1</f>
        <v>3025.0000000000005</v>
      </c>
      <c r="F66" s="14">
        <f>F64*1.1</f>
        <v>2750</v>
      </c>
      <c r="G66" s="5">
        <f>G53</f>
        <v>2500</v>
      </c>
    </row>
    <row r="67" spans="1:7" x14ac:dyDescent="0.4">
      <c r="A67" s="66">
        <f>C66+D66+E66+F66+G66</f>
        <v>15262.750000000002</v>
      </c>
      <c r="C67" s="14"/>
      <c r="D67" s="14"/>
      <c r="E67" s="14"/>
      <c r="F67" s="14"/>
      <c r="G67" s="5"/>
    </row>
    <row r="68" spans="1:7" ht="28.05" customHeight="1" x14ac:dyDescent="0.4">
      <c r="A68" s="17" t="s">
        <v>31</v>
      </c>
      <c r="B68" s="17">
        <v>0</v>
      </c>
      <c r="C68" s="20">
        <f>C66</f>
        <v>3660.2500000000014</v>
      </c>
      <c r="D68" s="20">
        <f>C68+D66</f>
        <v>6987.7500000000018</v>
      </c>
      <c r="E68" s="20">
        <f>D68+E66</f>
        <v>10012.750000000002</v>
      </c>
      <c r="F68" s="20">
        <f>E68+F66</f>
        <v>12762.750000000002</v>
      </c>
      <c r="G68" s="19">
        <f>F68+G66</f>
        <v>15262.750000000002</v>
      </c>
    </row>
    <row r="69" spans="1:7" x14ac:dyDescent="0.4">
      <c r="A69" s="11" t="s">
        <v>70</v>
      </c>
    </row>
    <row r="71" spans="1:7" x14ac:dyDescent="0.4">
      <c r="A71" s="71" t="s">
        <v>92</v>
      </c>
    </row>
    <row r="72" spans="1:7" ht="35" customHeight="1" x14ac:dyDescent="0.4">
      <c r="A72" s="174" t="s">
        <v>93</v>
      </c>
      <c r="B72" s="174"/>
      <c r="C72" s="174"/>
      <c r="D72" s="174"/>
      <c r="E72" s="174"/>
      <c r="F72" s="174"/>
      <c r="G72" s="174"/>
    </row>
  </sheetData>
  <mergeCells count="3">
    <mergeCell ref="A39:G39"/>
    <mergeCell ref="A72:G72"/>
    <mergeCell ref="A2:G2"/>
  </mergeCells>
  <phoneticPr fontId="1"/>
  <pageMargins left="0.7" right="0.7" top="0.75" bottom="0.75" header="0.3" footer="0.3"/>
  <pageSetup paperSize="9" scale="73" fitToHeight="0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1"/>
  <sheetViews>
    <sheetView topLeftCell="A34" zoomScaleNormal="100" workbookViewId="0">
      <selection activeCell="B22" sqref="B22:G22"/>
    </sheetView>
  </sheetViews>
  <sheetFormatPr defaultRowHeight="17.7" x14ac:dyDescent="0.4"/>
  <cols>
    <col min="1" max="1" width="19.88671875" customWidth="1"/>
    <col min="2" max="7" width="10.88671875" customWidth="1"/>
    <col min="9" max="9" width="19.88671875" customWidth="1"/>
    <col min="10" max="15" width="10.88671875" customWidth="1"/>
  </cols>
  <sheetData>
    <row r="1" spans="1:7" x14ac:dyDescent="0.4">
      <c r="A1" s="71" t="s">
        <v>94</v>
      </c>
    </row>
    <row r="2" spans="1:7" ht="36" customHeight="1" x14ac:dyDescent="0.4">
      <c r="A2" s="174" t="s">
        <v>98</v>
      </c>
      <c r="B2" s="174"/>
      <c r="C2" s="174"/>
      <c r="D2" s="174"/>
      <c r="E2" s="174"/>
      <c r="F2" s="174"/>
      <c r="G2" s="174"/>
    </row>
    <row r="3" spans="1:7" x14ac:dyDescent="0.4">
      <c r="A3" s="71"/>
    </row>
    <row r="4" spans="1:7" s="11" customFormat="1" x14ac:dyDescent="0.4">
      <c r="A4" s="67" t="s">
        <v>95</v>
      </c>
      <c r="B4" s="10"/>
      <c r="C4" s="10"/>
      <c r="D4" s="10"/>
      <c r="E4" s="10"/>
      <c r="F4" s="10"/>
      <c r="G4" s="10"/>
    </row>
    <row r="5" spans="1:7" s="73" customFormat="1" x14ac:dyDescent="0.4">
      <c r="A5" s="11"/>
      <c r="B5" s="157">
        <v>36526</v>
      </c>
      <c r="C5" s="157">
        <v>36891</v>
      </c>
      <c r="D5" s="157">
        <v>37256</v>
      </c>
      <c r="E5" s="157">
        <v>37621</v>
      </c>
      <c r="F5" s="157">
        <v>37986</v>
      </c>
      <c r="G5" s="157">
        <v>38352</v>
      </c>
    </row>
    <row r="6" spans="1:7" s="73" customFormat="1" x14ac:dyDescent="0.4">
      <c r="A6"/>
      <c r="B6" s="9" t="s">
        <v>28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7" s="11" customFormat="1" x14ac:dyDescent="0.4">
      <c r="A7" s="69"/>
      <c r="B7" s="165">
        <v>-10000</v>
      </c>
      <c r="C7" s="165">
        <v>2700</v>
      </c>
      <c r="D7" s="165">
        <v>2300</v>
      </c>
      <c r="E7" s="165">
        <v>2800</v>
      </c>
      <c r="F7" s="165">
        <v>2200</v>
      </c>
      <c r="G7" s="165">
        <v>2500</v>
      </c>
    </row>
    <row r="8" spans="1:7" s="11" customFormat="1" x14ac:dyDescent="0.4">
      <c r="B8" s="65"/>
      <c r="C8" s="65"/>
      <c r="D8" s="65"/>
      <c r="E8" s="65"/>
      <c r="F8" s="65"/>
      <c r="G8" s="65"/>
    </row>
    <row r="9" spans="1:7" x14ac:dyDescent="0.4">
      <c r="A9" s="11"/>
      <c r="B9" s="11"/>
      <c r="C9" s="11"/>
      <c r="D9" s="11"/>
      <c r="E9" s="11"/>
      <c r="F9" s="11"/>
      <c r="G9" s="11"/>
    </row>
    <row r="10" spans="1:7" x14ac:dyDescent="0.4">
      <c r="A10" s="11"/>
      <c r="B10" s="11"/>
      <c r="C10" s="11"/>
      <c r="D10" s="11"/>
      <c r="E10" s="11"/>
      <c r="F10" s="11"/>
      <c r="G10" s="11"/>
    </row>
    <row r="11" spans="1:7" x14ac:dyDescent="0.4">
      <c r="A11" s="10" t="s">
        <v>34</v>
      </c>
      <c r="B11" s="10"/>
      <c r="C11" s="10"/>
      <c r="D11" s="10"/>
      <c r="E11" s="10"/>
      <c r="F11" s="10"/>
      <c r="G11" s="10"/>
    </row>
    <row r="12" spans="1:7" x14ac:dyDescent="0.4">
      <c r="A12" s="11"/>
      <c r="B12" s="157">
        <v>36526</v>
      </c>
      <c r="C12" s="157">
        <v>36891</v>
      </c>
      <c r="D12" s="157">
        <v>37256</v>
      </c>
      <c r="E12" s="157">
        <v>37621</v>
      </c>
      <c r="F12" s="157">
        <v>37986</v>
      </c>
      <c r="G12" s="157">
        <v>38352</v>
      </c>
    </row>
    <row r="13" spans="1:7" x14ac:dyDescent="0.4">
      <c r="A13" s="11"/>
      <c r="B13" s="9" t="s">
        <v>28</v>
      </c>
      <c r="C13" s="9" t="s">
        <v>7</v>
      </c>
      <c r="D13" s="9" t="s">
        <v>8</v>
      </c>
      <c r="E13" s="9" t="s">
        <v>9</v>
      </c>
      <c r="F13" s="9" t="s">
        <v>10</v>
      </c>
      <c r="G13" s="9" t="s">
        <v>11</v>
      </c>
    </row>
    <row r="14" spans="1:7" x14ac:dyDescent="0.4">
      <c r="A14" s="10" t="s">
        <v>35</v>
      </c>
      <c r="B14" s="13">
        <v>10000</v>
      </c>
      <c r="C14" s="13">
        <f>B14*1.08</f>
        <v>10800</v>
      </c>
      <c r="D14" s="13">
        <f>C14*1.08</f>
        <v>11664</v>
      </c>
      <c r="E14" s="13">
        <f>D14*1.08</f>
        <v>12597.12</v>
      </c>
      <c r="F14" s="13">
        <f>E14*1.08</f>
        <v>13604.889600000002</v>
      </c>
      <c r="G14" s="15">
        <f>F14*1.08</f>
        <v>14693.280768000004</v>
      </c>
    </row>
    <row r="15" spans="1:7" x14ac:dyDescent="0.4">
      <c r="A15" s="11"/>
      <c r="B15" s="11"/>
      <c r="C15" s="11"/>
      <c r="D15" s="11"/>
      <c r="E15" s="11"/>
      <c r="F15" s="11"/>
      <c r="G15" s="11"/>
    </row>
    <row r="16" spans="1:7" x14ac:dyDescent="0.4">
      <c r="A16" s="11"/>
      <c r="B16" s="11"/>
      <c r="C16" s="11"/>
      <c r="D16" s="11"/>
      <c r="E16" s="11"/>
      <c r="F16" s="11"/>
      <c r="G16" s="11"/>
    </row>
    <row r="17" spans="1:7" x14ac:dyDescent="0.4">
      <c r="A17" s="11"/>
      <c r="B17" s="11"/>
      <c r="C17" s="11"/>
      <c r="D17" s="11"/>
      <c r="E17" s="11"/>
      <c r="F17" s="11"/>
      <c r="G17" s="11"/>
    </row>
    <row r="18" spans="1:7" x14ac:dyDescent="0.4">
      <c r="A18" s="71"/>
    </row>
    <row r="19" spans="1:7" x14ac:dyDescent="0.4">
      <c r="A19" s="10" t="s">
        <v>33</v>
      </c>
      <c r="B19" s="10"/>
      <c r="C19" s="10"/>
      <c r="D19" s="10"/>
      <c r="E19" s="10"/>
      <c r="F19" s="10"/>
      <c r="G19" s="10"/>
    </row>
    <row r="20" spans="1:7" x14ac:dyDescent="0.4">
      <c r="B20" s="157">
        <v>36526</v>
      </c>
      <c r="C20" s="157">
        <v>36891</v>
      </c>
      <c r="D20" s="157">
        <v>37256</v>
      </c>
      <c r="E20" s="157">
        <v>37621</v>
      </c>
      <c r="F20" s="157">
        <v>37986</v>
      </c>
      <c r="G20" s="157">
        <v>38352</v>
      </c>
    </row>
    <row r="21" spans="1:7" x14ac:dyDescent="0.4">
      <c r="B21" s="9" t="s">
        <v>28</v>
      </c>
      <c r="C21" s="9" t="s">
        <v>7</v>
      </c>
      <c r="D21" s="9" t="s">
        <v>8</v>
      </c>
      <c r="E21" s="9" t="s">
        <v>9</v>
      </c>
      <c r="F21" s="9" t="s">
        <v>10</v>
      </c>
      <c r="G21" s="9" t="s">
        <v>11</v>
      </c>
    </row>
    <row r="22" spans="1:7" x14ac:dyDescent="0.4">
      <c r="A22" t="s">
        <v>29</v>
      </c>
      <c r="B22" s="82">
        <v>-10000</v>
      </c>
      <c r="C22" s="82">
        <v>2700</v>
      </c>
      <c r="D22" s="82">
        <v>2300</v>
      </c>
      <c r="E22" s="82">
        <v>2800</v>
      </c>
      <c r="F22" s="82">
        <v>2200</v>
      </c>
      <c r="G22" s="82">
        <v>2500</v>
      </c>
    </row>
    <row r="24" spans="1:7" x14ac:dyDescent="0.4">
      <c r="A24" t="s">
        <v>6</v>
      </c>
    </row>
    <row r="25" spans="1:7" x14ac:dyDescent="0.4">
      <c r="A25" s="11" t="s">
        <v>12</v>
      </c>
      <c r="B25" s="3">
        <v>0</v>
      </c>
    </row>
    <row r="26" spans="1:7" x14ac:dyDescent="0.4">
      <c r="A26" s="65">
        <v>0</v>
      </c>
      <c r="B26" s="3"/>
    </row>
    <row r="27" spans="1:7" x14ac:dyDescent="0.4">
      <c r="A27" s="11" t="s">
        <v>13</v>
      </c>
      <c r="B27" s="3">
        <v>0</v>
      </c>
      <c r="C27" s="3">
        <f>C22</f>
        <v>2700</v>
      </c>
    </row>
    <row r="28" spans="1:7" x14ac:dyDescent="0.4">
      <c r="A28" s="65">
        <f>C27</f>
        <v>2700</v>
      </c>
      <c r="B28" s="3"/>
      <c r="C28" s="9" t="s">
        <v>32</v>
      </c>
      <c r="D28" s="9"/>
      <c r="E28" s="9"/>
      <c r="F28" s="9"/>
    </row>
    <row r="29" spans="1:7" x14ac:dyDescent="0.4">
      <c r="A29" s="11" t="s">
        <v>14</v>
      </c>
      <c r="B29" s="3">
        <v>0</v>
      </c>
      <c r="C29" s="8">
        <f>C27*1.08</f>
        <v>2916</v>
      </c>
      <c r="D29" s="9">
        <f>D22</f>
        <v>2300</v>
      </c>
      <c r="E29" s="9"/>
      <c r="F29" s="9"/>
    </row>
    <row r="30" spans="1:7" x14ac:dyDescent="0.4">
      <c r="A30" s="66">
        <f>C29+D29</f>
        <v>5216</v>
      </c>
      <c r="B30" s="3"/>
      <c r="C30" s="9" t="s">
        <v>32</v>
      </c>
      <c r="D30" s="9" t="s">
        <v>32</v>
      </c>
      <c r="E30" s="9"/>
      <c r="F30" s="9"/>
    </row>
    <row r="31" spans="1:7" x14ac:dyDescent="0.4">
      <c r="A31" s="11" t="s">
        <v>15</v>
      </c>
      <c r="B31" s="3">
        <v>0</v>
      </c>
      <c r="C31" s="8">
        <f>C29*1.08</f>
        <v>3149.28</v>
      </c>
      <c r="D31" s="8">
        <f>D29*1.08</f>
        <v>2484</v>
      </c>
      <c r="E31" s="8">
        <f>E22</f>
        <v>2800</v>
      </c>
      <c r="F31" s="9"/>
    </row>
    <row r="32" spans="1:7" x14ac:dyDescent="0.4">
      <c r="A32" s="66">
        <f>C31+D31+E31</f>
        <v>8433.2800000000007</v>
      </c>
      <c r="B32" s="3"/>
      <c r="C32" s="9" t="s">
        <v>32</v>
      </c>
      <c r="D32" s="9" t="s">
        <v>32</v>
      </c>
      <c r="E32" s="9" t="s">
        <v>32</v>
      </c>
      <c r="F32" s="9"/>
    </row>
    <row r="33" spans="1:8" x14ac:dyDescent="0.4">
      <c r="A33" s="11" t="s">
        <v>16</v>
      </c>
      <c r="B33" s="3">
        <v>0</v>
      </c>
      <c r="C33" s="8">
        <f>C31*1.08</f>
        <v>3401.2224000000006</v>
      </c>
      <c r="D33" s="8">
        <f>D31*1.08</f>
        <v>2682.7200000000003</v>
      </c>
      <c r="E33" s="8">
        <f>E31*1.08</f>
        <v>3024</v>
      </c>
      <c r="F33" s="8">
        <f>F22</f>
        <v>2200</v>
      </c>
    </row>
    <row r="34" spans="1:8" x14ac:dyDescent="0.4">
      <c r="A34" s="66">
        <f>C33+D33+E33+F33</f>
        <v>11307.9424</v>
      </c>
      <c r="B34" s="3"/>
      <c r="C34" s="9" t="s">
        <v>32</v>
      </c>
      <c r="D34" s="9" t="s">
        <v>32</v>
      </c>
      <c r="E34" s="9" t="s">
        <v>32</v>
      </c>
      <c r="F34" s="9" t="s">
        <v>32</v>
      </c>
    </row>
    <row r="35" spans="1:8" x14ac:dyDescent="0.4">
      <c r="A35" s="11" t="s">
        <v>17</v>
      </c>
      <c r="B35" s="3">
        <v>0</v>
      </c>
      <c r="C35" s="8">
        <f>C33*1.08</f>
        <v>3673.320192000001</v>
      </c>
      <c r="D35" s="8">
        <f>D33*1.08</f>
        <v>2897.3376000000003</v>
      </c>
      <c r="E35" s="8">
        <f>E33*1.08</f>
        <v>3265.92</v>
      </c>
      <c r="F35" s="8">
        <f>F33*1.08</f>
        <v>2376</v>
      </c>
      <c r="G35" s="3">
        <f>G22</f>
        <v>2500</v>
      </c>
      <c r="H35" s="3"/>
    </row>
    <row r="36" spans="1:8" x14ac:dyDescent="0.4">
      <c r="A36" s="66">
        <f>C35+D35+E35+F35+G35</f>
        <v>14712.577792000002</v>
      </c>
      <c r="C36" s="8"/>
      <c r="D36" s="8"/>
      <c r="E36" s="8"/>
      <c r="F36" s="8"/>
      <c r="G36" s="3"/>
      <c r="H36" s="3"/>
    </row>
    <row r="37" spans="1:8" ht="28.05" customHeight="1" x14ac:dyDescent="0.4">
      <c r="A37" s="17" t="s">
        <v>64</v>
      </c>
      <c r="B37" s="17">
        <v>0</v>
      </c>
      <c r="C37" s="18">
        <f>C35</f>
        <v>3673.320192000001</v>
      </c>
      <c r="D37" s="18">
        <f>C37+D35</f>
        <v>6570.6577920000018</v>
      </c>
      <c r="E37" s="18">
        <f>D37+E35</f>
        <v>9836.5777920000019</v>
      </c>
      <c r="F37" s="18">
        <f>E37+F35</f>
        <v>12212.577792000002</v>
      </c>
      <c r="G37" s="19">
        <f>F37+G35</f>
        <v>14712.577792000002</v>
      </c>
    </row>
    <row r="38" spans="1:8" x14ac:dyDescent="0.4">
      <c r="A38" t="s">
        <v>70</v>
      </c>
    </row>
    <row r="40" spans="1:8" s="11" customFormat="1" x14ac:dyDescent="0.4">
      <c r="A40" s="71" t="s">
        <v>96</v>
      </c>
    </row>
    <row r="41" spans="1:8" s="11" customFormat="1" ht="35" customHeight="1" x14ac:dyDescent="0.4">
      <c r="A41" s="174" t="s">
        <v>97</v>
      </c>
      <c r="B41" s="174"/>
      <c r="C41" s="174"/>
      <c r="D41" s="174"/>
      <c r="E41" s="174"/>
      <c r="F41" s="174"/>
      <c r="G41" s="174"/>
    </row>
  </sheetData>
  <mergeCells count="2">
    <mergeCell ref="A41:G41"/>
    <mergeCell ref="A2:G2"/>
  </mergeCells>
  <phoneticPr fontId="1"/>
  <pageMargins left="0.7" right="0.7" top="0.75" bottom="0.75" header="0.3" footer="0.3"/>
  <pageSetup paperSize="9" scale="85" fitToHeight="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7"/>
  <sheetViews>
    <sheetView zoomScaleNormal="100" workbookViewId="0">
      <selection activeCell="I42" sqref="I42"/>
    </sheetView>
  </sheetViews>
  <sheetFormatPr defaultRowHeight="17.7" x14ac:dyDescent="0.4"/>
  <cols>
    <col min="1" max="1" width="17.6640625" customWidth="1"/>
    <col min="2" max="2" width="10.21875" customWidth="1"/>
    <col min="3" max="7" width="10.77734375" customWidth="1"/>
    <col min="9" max="9" width="19.88671875" customWidth="1"/>
    <col min="10" max="15" width="10.88671875" customWidth="1"/>
  </cols>
  <sheetData>
    <row r="1" spans="1:7" x14ac:dyDescent="0.4">
      <c r="A1" s="71" t="s">
        <v>100</v>
      </c>
    </row>
    <row r="2" spans="1:7" ht="35.5" customHeight="1" x14ac:dyDescent="0.4">
      <c r="A2" s="174" t="s">
        <v>131</v>
      </c>
      <c r="B2" s="174"/>
      <c r="C2" s="174"/>
      <c r="D2" s="174"/>
      <c r="E2" s="174"/>
      <c r="F2" s="174"/>
      <c r="G2" s="174"/>
    </row>
    <row r="4" spans="1:7" x14ac:dyDescent="0.4">
      <c r="A4" s="178" t="s">
        <v>37</v>
      </c>
      <c r="B4" s="178"/>
      <c r="C4" s="178"/>
      <c r="D4" s="178"/>
      <c r="E4" s="178"/>
      <c r="F4" s="178"/>
      <c r="G4" s="178"/>
    </row>
    <row r="5" spans="1:7" x14ac:dyDescent="0.4">
      <c r="A5" s="16"/>
      <c r="B5" s="157">
        <v>36526</v>
      </c>
      <c r="C5" s="157">
        <v>36891</v>
      </c>
      <c r="D5" s="157">
        <v>37256</v>
      </c>
      <c r="E5" s="157">
        <v>37621</v>
      </c>
      <c r="F5" s="157">
        <v>37986</v>
      </c>
      <c r="G5" s="157">
        <v>38352</v>
      </c>
    </row>
    <row r="6" spans="1:7" x14ac:dyDescent="0.4">
      <c r="B6" s="9" t="s">
        <v>28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7" x14ac:dyDescent="0.4">
      <c r="A7" t="s">
        <v>299</v>
      </c>
      <c r="B7">
        <v>-10000</v>
      </c>
      <c r="C7">
        <v>2300</v>
      </c>
      <c r="D7">
        <v>2400</v>
      </c>
      <c r="E7">
        <v>2500</v>
      </c>
      <c r="F7">
        <v>2600</v>
      </c>
      <c r="G7">
        <v>2700</v>
      </c>
    </row>
    <row r="8" spans="1:7" x14ac:dyDescent="0.4">
      <c r="A8" s="10" t="s">
        <v>300</v>
      </c>
      <c r="B8" s="10">
        <v>-10000</v>
      </c>
      <c r="C8" s="10">
        <v>2700</v>
      </c>
      <c r="D8" s="10">
        <v>2600</v>
      </c>
      <c r="E8" s="10">
        <v>2500</v>
      </c>
      <c r="F8" s="10">
        <v>2400</v>
      </c>
      <c r="G8" s="10">
        <v>2300</v>
      </c>
    </row>
    <row r="9" spans="1:7" x14ac:dyDescent="0.4">
      <c r="A9" t="s">
        <v>38</v>
      </c>
    </row>
    <row r="11" spans="1:7" x14ac:dyDescent="0.4">
      <c r="A11" s="71" t="s">
        <v>96</v>
      </c>
    </row>
    <row r="12" spans="1:7" ht="97.5" customHeight="1" x14ac:dyDescent="0.4">
      <c r="A12" s="175" t="s">
        <v>132</v>
      </c>
      <c r="B12" s="175"/>
      <c r="C12" s="175"/>
      <c r="D12" s="175"/>
      <c r="E12" s="175"/>
      <c r="F12" s="175"/>
      <c r="G12" s="175"/>
    </row>
    <row r="15" spans="1:7" x14ac:dyDescent="0.4">
      <c r="A15" s="176" t="s">
        <v>240</v>
      </c>
      <c r="B15" s="177"/>
      <c r="C15" s="177"/>
      <c r="D15" s="177"/>
      <c r="E15" s="177"/>
      <c r="F15" s="177"/>
      <c r="G15" s="177"/>
    </row>
    <row r="16" spans="1:7" x14ac:dyDescent="0.4">
      <c r="B16" s="157">
        <v>36526</v>
      </c>
      <c r="C16" s="157">
        <v>36891</v>
      </c>
      <c r="D16" s="157">
        <v>37256</v>
      </c>
      <c r="E16" s="157">
        <v>37621</v>
      </c>
      <c r="F16" s="157">
        <v>37986</v>
      </c>
      <c r="G16" s="157">
        <v>38352</v>
      </c>
    </row>
    <row r="17" spans="1:7" x14ac:dyDescent="0.4">
      <c r="B17" s="9" t="s">
        <v>28</v>
      </c>
      <c r="C17" s="9" t="s">
        <v>7</v>
      </c>
      <c r="D17" s="9" t="s">
        <v>8</v>
      </c>
      <c r="E17" s="9" t="s">
        <v>9</v>
      </c>
      <c r="F17" s="9" t="s">
        <v>10</v>
      </c>
      <c r="G17" s="9" t="s">
        <v>11</v>
      </c>
    </row>
    <row r="18" spans="1:7" x14ac:dyDescent="0.4">
      <c r="A18" t="s">
        <v>29</v>
      </c>
      <c r="B18">
        <v>-10000</v>
      </c>
      <c r="C18">
        <v>2300</v>
      </c>
      <c r="D18">
        <v>2400</v>
      </c>
      <c r="E18">
        <v>2500</v>
      </c>
      <c r="F18">
        <v>2600</v>
      </c>
      <c r="G18">
        <v>2700</v>
      </c>
    </row>
    <row r="20" spans="1:7" x14ac:dyDescent="0.4">
      <c r="A20" t="s">
        <v>6</v>
      </c>
    </row>
    <row r="21" spans="1:7" x14ac:dyDescent="0.4">
      <c r="A21" s="11" t="s">
        <v>12</v>
      </c>
      <c r="B21" s="3">
        <v>0</v>
      </c>
    </row>
    <row r="22" spans="1:7" x14ac:dyDescent="0.4">
      <c r="A22" s="65">
        <v>0</v>
      </c>
      <c r="B22" s="3"/>
    </row>
    <row r="23" spans="1:7" x14ac:dyDescent="0.4">
      <c r="A23" s="11" t="s">
        <v>13</v>
      </c>
      <c r="B23" s="3">
        <v>0</v>
      </c>
      <c r="C23" s="3">
        <f>C18</f>
        <v>2300</v>
      </c>
    </row>
    <row r="24" spans="1:7" x14ac:dyDescent="0.4">
      <c r="A24" s="65">
        <f>C23</f>
        <v>2300</v>
      </c>
      <c r="B24" s="3"/>
      <c r="C24" s="9" t="s">
        <v>32</v>
      </c>
      <c r="D24" s="9"/>
      <c r="E24" s="9"/>
      <c r="F24" s="9"/>
    </row>
    <row r="25" spans="1:7" x14ac:dyDescent="0.4">
      <c r="A25" s="11" t="s">
        <v>14</v>
      </c>
      <c r="B25" s="3">
        <v>0</v>
      </c>
      <c r="C25" s="8">
        <f>C23*1.08</f>
        <v>2484</v>
      </c>
      <c r="D25" s="9">
        <f>D18</f>
        <v>2400</v>
      </c>
      <c r="E25" s="9"/>
      <c r="F25" s="9"/>
    </row>
    <row r="26" spans="1:7" x14ac:dyDescent="0.4">
      <c r="A26" s="66">
        <f>C25+D25</f>
        <v>4884</v>
      </c>
      <c r="B26" s="3"/>
      <c r="C26" s="9" t="s">
        <v>32</v>
      </c>
      <c r="D26" s="9" t="s">
        <v>32</v>
      </c>
      <c r="E26" s="9"/>
      <c r="F26" s="9"/>
    </row>
    <row r="27" spans="1:7" x14ac:dyDescent="0.4">
      <c r="A27" s="11" t="s">
        <v>15</v>
      </c>
      <c r="B27" s="3">
        <v>0</v>
      </c>
      <c r="C27" s="8">
        <f>C25*1.08</f>
        <v>2682.7200000000003</v>
      </c>
      <c r="D27" s="8">
        <f>D25*1.08</f>
        <v>2592</v>
      </c>
      <c r="E27" s="8">
        <f>E18</f>
        <v>2500</v>
      </c>
      <c r="F27" s="9"/>
    </row>
    <row r="28" spans="1:7" x14ac:dyDescent="0.4">
      <c r="A28" s="66">
        <f>C27+D27+E27</f>
        <v>7774.72</v>
      </c>
      <c r="B28" s="3"/>
      <c r="C28" s="9" t="s">
        <v>32</v>
      </c>
      <c r="D28" s="9" t="s">
        <v>32</v>
      </c>
      <c r="E28" s="9" t="s">
        <v>56</v>
      </c>
      <c r="F28" s="9"/>
    </row>
    <row r="29" spans="1:7" x14ac:dyDescent="0.4">
      <c r="A29" s="11" t="s">
        <v>16</v>
      </c>
      <c r="B29" s="3">
        <v>0</v>
      </c>
      <c r="C29" s="8">
        <f>C27*1.08</f>
        <v>2897.3376000000003</v>
      </c>
      <c r="D29" s="8">
        <f>D27*1.08</f>
        <v>2799.36</v>
      </c>
      <c r="E29" s="8">
        <f>E27*1.08</f>
        <v>2700</v>
      </c>
      <c r="F29" s="8">
        <f>F18</f>
        <v>2600</v>
      </c>
    </row>
    <row r="30" spans="1:7" x14ac:dyDescent="0.4">
      <c r="A30" s="66">
        <f>C29+D29+E29+F29</f>
        <v>10996.6976</v>
      </c>
      <c r="B30" s="3"/>
      <c r="C30" s="9" t="s">
        <v>32</v>
      </c>
      <c r="D30" s="9" t="s">
        <v>32</v>
      </c>
      <c r="E30" s="9" t="s">
        <v>32</v>
      </c>
      <c r="F30" s="9" t="s">
        <v>32</v>
      </c>
    </row>
    <row r="31" spans="1:7" x14ac:dyDescent="0.4">
      <c r="A31" s="11" t="s">
        <v>17</v>
      </c>
      <c r="B31" s="3">
        <v>0</v>
      </c>
      <c r="C31" s="8">
        <f>C29*1.08</f>
        <v>3129.1246080000005</v>
      </c>
      <c r="D31" s="8">
        <f>D29*1.08</f>
        <v>3023.3088000000002</v>
      </c>
      <c r="E31" s="8">
        <f>E29*1.08</f>
        <v>2916</v>
      </c>
      <c r="F31" s="8">
        <f>F29*1.08</f>
        <v>2808</v>
      </c>
      <c r="G31" s="3">
        <f>G18</f>
        <v>2700</v>
      </c>
    </row>
    <row r="32" spans="1:7" x14ac:dyDescent="0.4">
      <c r="A32" s="66">
        <f>C31+D31+E31+F31+G31</f>
        <v>14576.433408000001</v>
      </c>
      <c r="B32" s="3"/>
      <c r="C32" s="8"/>
      <c r="D32" s="8"/>
      <c r="E32" s="8"/>
      <c r="F32" s="8"/>
      <c r="G32" s="3"/>
    </row>
    <row r="33" spans="1:7" ht="34.85" customHeight="1" x14ac:dyDescent="0.4">
      <c r="A33" s="17" t="s">
        <v>31</v>
      </c>
      <c r="B33" s="23">
        <v>0</v>
      </c>
      <c r="C33" s="18">
        <f>C31</f>
        <v>3129.1246080000005</v>
      </c>
      <c r="D33" s="18">
        <f>C33+D31</f>
        <v>6152.4334080000008</v>
      </c>
      <c r="E33" s="18">
        <f>D33+E31</f>
        <v>9068.4334080000008</v>
      </c>
      <c r="F33" s="18">
        <f>E33+F31</f>
        <v>11876.433408000001</v>
      </c>
      <c r="G33" s="19">
        <f>F33+G31</f>
        <v>14576.433408000001</v>
      </c>
    </row>
    <row r="34" spans="1:7" x14ac:dyDescent="0.4">
      <c r="A34" t="s">
        <v>130</v>
      </c>
    </row>
    <row r="36" spans="1:7" x14ac:dyDescent="0.4">
      <c r="A36" s="176" t="s">
        <v>241</v>
      </c>
      <c r="B36" s="177"/>
      <c r="C36" s="177"/>
      <c r="D36" s="177"/>
      <c r="E36" s="177"/>
      <c r="F36" s="177"/>
      <c r="G36" s="177"/>
    </row>
    <row r="37" spans="1:7" x14ac:dyDescent="0.4">
      <c r="B37" s="157">
        <v>36526</v>
      </c>
      <c r="C37" s="157">
        <v>36891</v>
      </c>
      <c r="D37" s="157">
        <v>37256</v>
      </c>
      <c r="E37" s="157">
        <v>37621</v>
      </c>
      <c r="F37" s="157">
        <v>37986</v>
      </c>
      <c r="G37" s="157">
        <v>38352</v>
      </c>
    </row>
    <row r="38" spans="1:7" x14ac:dyDescent="0.4">
      <c r="A38" s="10"/>
      <c r="B38" s="158" t="s">
        <v>28</v>
      </c>
      <c r="C38" s="158" t="s">
        <v>7</v>
      </c>
      <c r="D38" s="158" t="s">
        <v>8</v>
      </c>
      <c r="E38" s="158" t="s">
        <v>9</v>
      </c>
      <c r="F38" s="158" t="s">
        <v>10</v>
      </c>
      <c r="G38" s="158" t="s">
        <v>11</v>
      </c>
    </row>
    <row r="39" spans="1:7" x14ac:dyDescent="0.4">
      <c r="A39" t="s">
        <v>29</v>
      </c>
      <c r="B39">
        <v>-10000</v>
      </c>
      <c r="C39">
        <v>2700</v>
      </c>
      <c r="D39">
        <v>2600</v>
      </c>
      <c r="E39">
        <v>2500</v>
      </c>
      <c r="F39">
        <v>2400</v>
      </c>
      <c r="G39">
        <v>2300</v>
      </c>
    </row>
    <row r="41" spans="1:7" x14ac:dyDescent="0.4">
      <c r="A41" t="s">
        <v>6</v>
      </c>
    </row>
    <row r="42" spans="1:7" x14ac:dyDescent="0.4">
      <c r="A42" s="11" t="s">
        <v>12</v>
      </c>
      <c r="B42" s="3">
        <v>0</v>
      </c>
    </row>
    <row r="43" spans="1:7" x14ac:dyDescent="0.4">
      <c r="A43" s="65">
        <v>0</v>
      </c>
      <c r="B43" s="3"/>
    </row>
    <row r="44" spans="1:7" x14ac:dyDescent="0.4">
      <c r="A44" s="11" t="s">
        <v>13</v>
      </c>
      <c r="B44" s="3">
        <v>0</v>
      </c>
      <c r="C44" s="3">
        <f>C39</f>
        <v>2700</v>
      </c>
    </row>
    <row r="45" spans="1:7" x14ac:dyDescent="0.4">
      <c r="A45" s="65">
        <f>C44</f>
        <v>2700</v>
      </c>
      <c r="B45" s="3"/>
      <c r="C45" s="9" t="s">
        <v>32</v>
      </c>
      <c r="D45" s="9"/>
      <c r="E45" s="9"/>
      <c r="F45" s="9"/>
    </row>
    <row r="46" spans="1:7" x14ac:dyDescent="0.4">
      <c r="A46" s="11" t="s">
        <v>14</v>
      </c>
      <c r="B46" s="3">
        <v>0</v>
      </c>
      <c r="C46" s="8">
        <f>C44*1.08</f>
        <v>2916</v>
      </c>
      <c r="D46" s="8">
        <f>D39</f>
        <v>2600</v>
      </c>
      <c r="E46" s="9"/>
      <c r="F46" s="9"/>
    </row>
    <row r="47" spans="1:7" x14ac:dyDescent="0.4">
      <c r="A47" s="66">
        <f>C46+D46</f>
        <v>5516</v>
      </c>
      <c r="B47" s="3"/>
      <c r="C47" s="9" t="s">
        <v>32</v>
      </c>
      <c r="D47" s="9" t="s">
        <v>32</v>
      </c>
      <c r="E47" s="9"/>
      <c r="F47" s="9"/>
    </row>
    <row r="48" spans="1:7" x14ac:dyDescent="0.4">
      <c r="A48" s="11" t="s">
        <v>15</v>
      </c>
      <c r="B48" s="3">
        <v>0</v>
      </c>
      <c r="C48" s="8">
        <f>C46*1.08</f>
        <v>3149.28</v>
      </c>
      <c r="D48" s="8">
        <f>D46*1.08</f>
        <v>2808</v>
      </c>
      <c r="E48" s="8">
        <f>E39</f>
        <v>2500</v>
      </c>
      <c r="F48" s="9"/>
    </row>
    <row r="49" spans="1:7" x14ac:dyDescent="0.4">
      <c r="A49" s="66">
        <f>C48+D48+E48</f>
        <v>8457.2800000000007</v>
      </c>
      <c r="B49" s="3"/>
      <c r="C49" s="9" t="s">
        <v>32</v>
      </c>
      <c r="D49" s="9" t="s">
        <v>32</v>
      </c>
      <c r="E49" s="9" t="s">
        <v>32</v>
      </c>
      <c r="F49" s="9"/>
    </row>
    <row r="50" spans="1:7" x14ac:dyDescent="0.4">
      <c r="A50" s="11" t="s">
        <v>16</v>
      </c>
      <c r="B50" s="3">
        <v>0</v>
      </c>
      <c r="C50" s="8">
        <f>C48*1.08</f>
        <v>3401.2224000000006</v>
      </c>
      <c r="D50" s="8">
        <f>D48*1.08</f>
        <v>3032.6400000000003</v>
      </c>
      <c r="E50" s="8">
        <f>E48*1.08</f>
        <v>2700</v>
      </c>
      <c r="F50" s="8">
        <f>F39</f>
        <v>2400</v>
      </c>
    </row>
    <row r="51" spans="1:7" x14ac:dyDescent="0.4">
      <c r="A51" s="66">
        <f>C50+D50+E50+F50</f>
        <v>11533.862400000002</v>
      </c>
      <c r="B51" s="3"/>
      <c r="C51" s="9" t="s">
        <v>32</v>
      </c>
      <c r="D51" s="9" t="s">
        <v>32</v>
      </c>
      <c r="E51" s="9" t="s">
        <v>32</v>
      </c>
      <c r="F51" s="9" t="s">
        <v>32</v>
      </c>
    </row>
    <row r="52" spans="1:7" x14ac:dyDescent="0.4">
      <c r="A52" s="11" t="s">
        <v>17</v>
      </c>
      <c r="B52" s="3">
        <v>0</v>
      </c>
      <c r="C52" s="8">
        <f>C50*1.08</f>
        <v>3673.320192000001</v>
      </c>
      <c r="D52" s="8">
        <f>D50*1.08</f>
        <v>3275.2512000000006</v>
      </c>
      <c r="E52" s="8">
        <f>E50*1.08</f>
        <v>2916</v>
      </c>
      <c r="F52" s="8">
        <f>F50*1.08</f>
        <v>2592</v>
      </c>
      <c r="G52" s="3">
        <f>G39</f>
        <v>2300</v>
      </c>
    </row>
    <row r="53" spans="1:7" x14ac:dyDescent="0.4">
      <c r="A53" s="66">
        <f>C52+D52+E52+F52+G52</f>
        <v>14756.571392000002</v>
      </c>
      <c r="B53" s="3"/>
      <c r="C53" s="8"/>
      <c r="D53" s="8"/>
      <c r="E53" s="8"/>
      <c r="F53" s="8"/>
      <c r="G53" s="3"/>
    </row>
    <row r="54" spans="1:7" ht="34.85" customHeight="1" x14ac:dyDescent="0.4">
      <c r="A54" s="17" t="s">
        <v>31</v>
      </c>
      <c r="B54" s="23">
        <v>0</v>
      </c>
      <c r="C54" s="18">
        <f>C52</f>
        <v>3673.320192000001</v>
      </c>
      <c r="D54" s="18">
        <f>C54+D52</f>
        <v>6948.5713920000017</v>
      </c>
      <c r="E54" s="18">
        <f>D54+E52</f>
        <v>9864.5713920000017</v>
      </c>
      <c r="F54" s="18">
        <f>E54+F52</f>
        <v>12456.571392000002</v>
      </c>
      <c r="G54" s="19">
        <f>F54+G52</f>
        <v>14756.571392000002</v>
      </c>
    </row>
    <row r="55" spans="1:7" x14ac:dyDescent="0.4">
      <c r="A55" t="s">
        <v>129</v>
      </c>
    </row>
    <row r="57" spans="1:7" s="11" customFormat="1" ht="35" customHeight="1" x14ac:dyDescent="0.4">
      <c r="A57" s="174" t="s">
        <v>242</v>
      </c>
      <c r="B57" s="174"/>
      <c r="C57" s="174"/>
      <c r="D57" s="174"/>
      <c r="E57" s="174"/>
      <c r="F57" s="174"/>
      <c r="G57" s="174"/>
    </row>
  </sheetData>
  <mergeCells count="6">
    <mergeCell ref="A2:G2"/>
    <mergeCell ref="A57:G57"/>
    <mergeCell ref="A12:G12"/>
    <mergeCell ref="A15:G15"/>
    <mergeCell ref="A36:G36"/>
    <mergeCell ref="A4:G4"/>
  </mergeCells>
  <phoneticPr fontId="1"/>
  <pageMargins left="0.7" right="0.7" top="0.75" bottom="0.75" header="0.3" footer="0.3"/>
  <pageSetup paperSize="9" scale="88" fitToHeight="0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0" zoomScaleNormal="100" workbookViewId="0">
      <selection activeCell="A25" sqref="A25"/>
    </sheetView>
  </sheetViews>
  <sheetFormatPr defaultRowHeight="17.7" x14ac:dyDescent="0.4"/>
  <cols>
    <col min="1" max="6" width="13.109375" customWidth="1"/>
  </cols>
  <sheetData>
    <row r="1" spans="1:14" x14ac:dyDescent="0.4">
      <c r="A1" s="71" t="s">
        <v>102</v>
      </c>
    </row>
    <row r="2" spans="1:14" ht="45.7" customHeight="1" x14ac:dyDescent="0.4">
      <c r="A2" s="174" t="s">
        <v>103</v>
      </c>
      <c r="B2" s="174"/>
      <c r="C2" s="174"/>
      <c r="D2" s="174"/>
      <c r="E2" s="174"/>
      <c r="F2" s="174"/>
    </row>
    <row r="3" spans="1:14" x14ac:dyDescent="0.4">
      <c r="A3" s="71"/>
      <c r="B3" s="71"/>
      <c r="C3" s="71"/>
      <c r="D3" s="71"/>
      <c r="E3" s="71"/>
      <c r="F3" s="71"/>
    </row>
    <row r="4" spans="1:14" x14ac:dyDescent="0.4">
      <c r="A4" s="176" t="s">
        <v>101</v>
      </c>
      <c r="B4" s="176"/>
      <c r="C4" s="176"/>
      <c r="D4" s="176"/>
      <c r="E4" s="176"/>
      <c r="F4" s="176"/>
    </row>
    <row r="5" spans="1:14" s="11" customFormat="1" ht="19.05" x14ac:dyDescent="0.4">
      <c r="A5" s="73" t="s">
        <v>106</v>
      </c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</row>
    <row r="6" spans="1:14" x14ac:dyDescent="0.4">
      <c r="A6" s="138">
        <v>-10000</v>
      </c>
      <c r="B6" s="21">
        <v>2500</v>
      </c>
      <c r="C6" s="21">
        <v>2500</v>
      </c>
      <c r="D6" s="21">
        <v>2500</v>
      </c>
      <c r="E6" s="21">
        <v>2500</v>
      </c>
      <c r="F6" s="21">
        <v>2500</v>
      </c>
    </row>
    <row r="7" spans="1:14" x14ac:dyDescent="0.4">
      <c r="A7" s="11"/>
    </row>
    <row r="8" spans="1:14" s="71" customFormat="1" x14ac:dyDescent="0.4">
      <c r="A8" s="71" t="s">
        <v>104</v>
      </c>
    </row>
    <row r="9" spans="1:14" x14ac:dyDescent="0.4">
      <c r="A9" s="177" t="s">
        <v>18</v>
      </c>
      <c r="B9" s="177"/>
      <c r="C9" s="177"/>
      <c r="D9" s="177"/>
      <c r="E9" s="177"/>
      <c r="F9" s="177"/>
    </row>
    <row r="10" spans="1:14" s="11" customFormat="1" ht="19.05" x14ac:dyDescent="0.4">
      <c r="A10" s="73" t="s">
        <v>106</v>
      </c>
      <c r="B10" s="73" t="s">
        <v>107</v>
      </c>
      <c r="C10" s="73" t="s">
        <v>108</v>
      </c>
      <c r="D10" s="73" t="s">
        <v>109</v>
      </c>
      <c r="E10" s="73" t="s">
        <v>110</v>
      </c>
      <c r="F10" s="73" t="s">
        <v>111</v>
      </c>
    </row>
    <row r="11" spans="1:14" x14ac:dyDescent="0.4">
      <c r="A11">
        <v>-10000</v>
      </c>
      <c r="B11" s="4">
        <v>2500</v>
      </c>
      <c r="C11" s="4">
        <v>2500</v>
      </c>
      <c r="D11" s="4">
        <v>2500</v>
      </c>
      <c r="E11" s="4">
        <v>2500</v>
      </c>
      <c r="F11" s="4">
        <v>2500</v>
      </c>
    </row>
    <row r="13" spans="1:14" x14ac:dyDescent="0.4">
      <c r="A13" s="3">
        <f>B11/1.08</f>
        <v>2314.8148148148148</v>
      </c>
    </row>
    <row r="15" spans="1:14" x14ac:dyDescent="0.4">
      <c r="A15" s="3">
        <f>C11/(1.08^2)</f>
        <v>2143.347050754458</v>
      </c>
      <c r="H15" s="3"/>
      <c r="I15" s="3"/>
      <c r="J15" s="3"/>
      <c r="K15" s="3"/>
      <c r="L15" s="3"/>
      <c r="M15" s="3"/>
      <c r="N15" s="3"/>
    </row>
    <row r="17" spans="1:6" x14ac:dyDescent="0.4">
      <c r="A17" s="3">
        <f>D11/(1.08^3)</f>
        <v>1984.5806025504239</v>
      </c>
    </row>
    <row r="19" spans="1:6" x14ac:dyDescent="0.4">
      <c r="A19" s="3">
        <f>E11/(1.08^4)</f>
        <v>1837.5746319911332</v>
      </c>
    </row>
    <row r="21" spans="1:6" x14ac:dyDescent="0.4">
      <c r="A21" s="3">
        <f>F11/(1.08^5)</f>
        <v>1701.4579925843825</v>
      </c>
    </row>
    <row r="23" spans="1:6" x14ac:dyDescent="0.4">
      <c r="A23" s="10" t="s">
        <v>19</v>
      </c>
      <c r="B23" s="10"/>
      <c r="C23" s="10"/>
      <c r="D23" s="10"/>
      <c r="E23" s="10"/>
      <c r="F23" s="10"/>
    </row>
    <row r="24" spans="1:6" x14ac:dyDescent="0.4">
      <c r="A24" s="65">
        <f>A11+A13+A15+A17+A19+A21</f>
        <v>-18.224907304787621</v>
      </c>
      <c r="B24" s="6" t="s">
        <v>24</v>
      </c>
    </row>
  </sheetData>
  <mergeCells count="3">
    <mergeCell ref="A2:F2"/>
    <mergeCell ref="A9:F9"/>
    <mergeCell ref="A4:F4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zoomScale="85" zoomScaleNormal="85" workbookViewId="0"/>
  </sheetViews>
  <sheetFormatPr defaultRowHeight="17.7" x14ac:dyDescent="0.4"/>
  <cols>
    <col min="1" max="1" width="18.6640625" customWidth="1"/>
    <col min="2" max="2" width="10.88671875" customWidth="1"/>
    <col min="3" max="7" width="11.33203125" customWidth="1"/>
  </cols>
  <sheetData>
    <row r="1" spans="1:7" x14ac:dyDescent="0.4">
      <c r="A1" s="71" t="s">
        <v>102</v>
      </c>
    </row>
    <row r="2" spans="1:7" ht="101.55" customHeight="1" x14ac:dyDescent="0.4">
      <c r="A2" s="174" t="s">
        <v>243</v>
      </c>
      <c r="B2" s="174"/>
      <c r="C2" s="174"/>
      <c r="D2" s="174"/>
      <c r="E2" s="174"/>
      <c r="F2" s="174"/>
      <c r="G2" s="174"/>
    </row>
    <row r="4" spans="1:7" ht="19.05" x14ac:dyDescent="0.4">
      <c r="A4" s="160" t="s">
        <v>244</v>
      </c>
      <c r="B4" s="160"/>
      <c r="C4" s="160"/>
      <c r="D4" s="160"/>
      <c r="E4" s="160"/>
      <c r="F4" s="160"/>
      <c r="G4" s="160"/>
    </row>
    <row r="5" spans="1:7" ht="19.05" x14ac:dyDescent="0.4">
      <c r="A5" s="71"/>
      <c r="B5" s="73" t="s">
        <v>106</v>
      </c>
      <c r="C5" s="4" t="s">
        <v>107</v>
      </c>
      <c r="D5" s="4" t="s">
        <v>108</v>
      </c>
      <c r="E5" s="4" t="s">
        <v>109</v>
      </c>
      <c r="F5" s="4" t="s">
        <v>110</v>
      </c>
      <c r="G5" s="4" t="s">
        <v>111</v>
      </c>
    </row>
    <row r="6" spans="1:7" x14ac:dyDescent="0.4">
      <c r="A6" s="11" t="s">
        <v>105</v>
      </c>
      <c r="B6" s="11">
        <v>-10000</v>
      </c>
      <c r="C6">
        <v>2500</v>
      </c>
      <c r="D6">
        <v>2500</v>
      </c>
      <c r="E6">
        <v>2500</v>
      </c>
      <c r="F6">
        <v>2500</v>
      </c>
      <c r="G6">
        <v>2500</v>
      </c>
    </row>
    <row r="8" spans="1:7" x14ac:dyDescent="0.4">
      <c r="A8" t="s">
        <v>6</v>
      </c>
    </row>
    <row r="9" spans="1:7" ht="19.05" x14ac:dyDescent="0.4">
      <c r="A9" t="s">
        <v>112</v>
      </c>
      <c r="B9" s="3">
        <v>0</v>
      </c>
    </row>
    <row r="10" spans="1:7" x14ac:dyDescent="0.4">
      <c r="A10" s="65">
        <f>B9</f>
        <v>0</v>
      </c>
      <c r="B10" s="3"/>
    </row>
    <row r="11" spans="1:7" ht="19.05" x14ac:dyDescent="0.4">
      <c r="A11" t="s">
        <v>113</v>
      </c>
      <c r="B11" s="3">
        <v>0</v>
      </c>
      <c r="C11" s="3">
        <v>2500</v>
      </c>
      <c r="D11" s="3"/>
      <c r="E11" s="3"/>
      <c r="F11" s="3"/>
      <c r="G11" s="3"/>
    </row>
    <row r="12" spans="1:7" x14ac:dyDescent="0.4">
      <c r="A12" s="66">
        <f>C11+D11+E11+F11+G11</f>
        <v>2500</v>
      </c>
      <c r="B12" s="3"/>
      <c r="C12" s="3"/>
      <c r="D12" s="3"/>
      <c r="E12" s="3"/>
      <c r="F12" s="3"/>
      <c r="G12" s="3"/>
    </row>
    <row r="13" spans="1:7" ht="19.05" x14ac:dyDescent="0.4">
      <c r="A13" t="s">
        <v>114</v>
      </c>
      <c r="B13" s="3">
        <v>0</v>
      </c>
      <c r="C13" s="3">
        <f>C11*1.08</f>
        <v>2700</v>
      </c>
      <c r="D13" s="3">
        <v>2500</v>
      </c>
      <c r="E13" s="3"/>
      <c r="F13" s="3"/>
      <c r="G13" s="3"/>
    </row>
    <row r="14" spans="1:7" x14ac:dyDescent="0.4">
      <c r="A14" s="66">
        <f>C13+D13+E13+F13+G13</f>
        <v>5200</v>
      </c>
      <c r="B14" s="3"/>
      <c r="C14" s="3"/>
      <c r="D14" s="3"/>
      <c r="E14" s="3"/>
      <c r="F14" s="3"/>
      <c r="G14" s="3"/>
    </row>
    <row r="15" spans="1:7" ht="19.05" x14ac:dyDescent="0.4">
      <c r="A15" t="s">
        <v>115</v>
      </c>
      <c r="B15" s="3">
        <v>0</v>
      </c>
      <c r="C15" s="3">
        <f>C13*1.08</f>
        <v>2916</v>
      </c>
      <c r="D15" s="3">
        <f>D13*1.08</f>
        <v>2700</v>
      </c>
      <c r="E15" s="3">
        <v>2500</v>
      </c>
      <c r="F15" s="3"/>
      <c r="G15" s="3"/>
    </row>
    <row r="16" spans="1:7" x14ac:dyDescent="0.4">
      <c r="A16" s="66">
        <f>C15+D15+E15+F15+G15</f>
        <v>8116</v>
      </c>
      <c r="B16" s="3"/>
      <c r="C16" s="3"/>
      <c r="D16" s="3"/>
      <c r="E16" s="3"/>
      <c r="F16" s="3"/>
      <c r="G16" s="3"/>
    </row>
    <row r="17" spans="1:7" ht="19.05" x14ac:dyDescent="0.4">
      <c r="A17" t="s">
        <v>116</v>
      </c>
      <c r="B17" s="3">
        <v>0</v>
      </c>
      <c r="C17" s="3">
        <f>C15*1.08</f>
        <v>3149.28</v>
      </c>
      <c r="D17" s="3">
        <f>D15*1.08</f>
        <v>2916</v>
      </c>
      <c r="E17" s="3">
        <f>E15*1.08</f>
        <v>2700</v>
      </c>
      <c r="F17" s="3">
        <v>2500</v>
      </c>
      <c r="G17" s="3"/>
    </row>
    <row r="18" spans="1:7" x14ac:dyDescent="0.4">
      <c r="A18" s="66">
        <f>C17+D17+E17+F17+G17</f>
        <v>11265.28</v>
      </c>
      <c r="B18" s="3"/>
      <c r="C18" s="3"/>
      <c r="D18" s="3"/>
      <c r="E18" s="3"/>
      <c r="F18" s="3"/>
      <c r="G18" s="3"/>
    </row>
    <row r="19" spans="1:7" ht="19.05" x14ac:dyDescent="0.4">
      <c r="A19" t="s">
        <v>117</v>
      </c>
      <c r="B19" s="3">
        <v>0</v>
      </c>
      <c r="C19" s="3">
        <f>C17*1.08</f>
        <v>3401.2224000000006</v>
      </c>
      <c r="D19" s="3">
        <f t="shared" ref="D19:F19" si="0">D17*1.08</f>
        <v>3149.28</v>
      </c>
      <c r="E19" s="3">
        <f t="shared" si="0"/>
        <v>2916</v>
      </c>
      <c r="F19" s="3">
        <f t="shared" si="0"/>
        <v>2700</v>
      </c>
      <c r="G19" s="3">
        <v>2500</v>
      </c>
    </row>
    <row r="20" spans="1:7" x14ac:dyDescent="0.4">
      <c r="A20" s="66">
        <f>C19+D19+E19+F19+G19</f>
        <v>14666.502400000001</v>
      </c>
      <c r="B20" s="3"/>
      <c r="C20" s="3"/>
      <c r="D20" s="3"/>
      <c r="E20" s="3"/>
      <c r="F20" s="3"/>
      <c r="G20" s="3"/>
    </row>
    <row r="21" spans="1:7" ht="34" x14ac:dyDescent="0.4">
      <c r="A21" s="22" t="s">
        <v>27</v>
      </c>
      <c r="B21" s="23">
        <v>0</v>
      </c>
      <c r="C21" s="23">
        <f>C19</f>
        <v>3401.2224000000006</v>
      </c>
      <c r="D21" s="23">
        <f>C21+D19</f>
        <v>6550.5024000000012</v>
      </c>
      <c r="E21" s="23">
        <f t="shared" ref="E21:F21" si="1">D21+E19</f>
        <v>9466.5024000000012</v>
      </c>
      <c r="F21" s="23">
        <f t="shared" si="1"/>
        <v>12166.502400000001</v>
      </c>
      <c r="G21" s="24">
        <f>F21+G19</f>
        <v>14666.502400000001</v>
      </c>
    </row>
    <row r="22" spans="1:7" ht="19.05" x14ac:dyDescent="0.4">
      <c r="A22" t="s">
        <v>118</v>
      </c>
    </row>
    <row r="25" spans="1:7" ht="19.05" x14ac:dyDescent="0.4">
      <c r="A25" s="179" t="s">
        <v>245</v>
      </c>
      <c r="B25" s="179"/>
      <c r="C25" s="179"/>
      <c r="D25" s="179"/>
      <c r="E25" s="179"/>
      <c r="F25" s="179"/>
      <c r="G25" s="179"/>
    </row>
    <row r="26" spans="1:7" s="11" customFormat="1" ht="19.05" x14ac:dyDescent="0.4">
      <c r="B26" s="73" t="s">
        <v>106</v>
      </c>
      <c r="C26" s="73" t="s">
        <v>107</v>
      </c>
      <c r="D26" s="73" t="s">
        <v>108</v>
      </c>
      <c r="E26" s="73" t="s">
        <v>109</v>
      </c>
      <c r="F26" s="73" t="s">
        <v>110</v>
      </c>
      <c r="G26" s="73" t="s">
        <v>111</v>
      </c>
    </row>
    <row r="27" spans="1:7" s="11" customFormat="1" x14ac:dyDescent="0.4">
      <c r="A27" s="11" t="s">
        <v>120</v>
      </c>
      <c r="B27" s="5">
        <v>0</v>
      </c>
      <c r="C27" s="5">
        <f>C11</f>
        <v>2500</v>
      </c>
      <c r="D27" s="5">
        <f>D13+C13</f>
        <v>5200</v>
      </c>
      <c r="E27" s="5">
        <f>C15+D15+E15</f>
        <v>8116</v>
      </c>
      <c r="F27" s="5">
        <f>C17+D17+E17+F17</f>
        <v>11265.28</v>
      </c>
      <c r="G27" s="5">
        <f>C19+D19+E19+F19+G19</f>
        <v>14666.502400000001</v>
      </c>
    </row>
    <row r="28" spans="1:7" x14ac:dyDescent="0.4">
      <c r="A28" t="s">
        <v>22</v>
      </c>
      <c r="B28" s="3">
        <v>10000</v>
      </c>
      <c r="C28" s="3">
        <f>B28*1.08</f>
        <v>10800</v>
      </c>
      <c r="D28" s="3">
        <f>C28*1.08</f>
        <v>11664</v>
      </c>
      <c r="E28" s="3">
        <f>D28*1.08</f>
        <v>12597.12</v>
      </c>
      <c r="F28" s="3">
        <f>E28*1.08</f>
        <v>13604.889600000002</v>
      </c>
      <c r="G28" s="65">
        <f>F28*1.08</f>
        <v>14693.280768000004</v>
      </c>
    </row>
    <row r="29" spans="1:7" ht="18.350000000000001" thickBot="1" x14ac:dyDescent="0.45">
      <c r="A29" t="s">
        <v>20</v>
      </c>
      <c r="G29" s="7">
        <f>G27-G28</f>
        <v>-26.778368000002956</v>
      </c>
    </row>
    <row r="30" spans="1:7" ht="18.350000000000001" thickTop="1" x14ac:dyDescent="0.4"/>
    <row r="31" spans="1:7" x14ac:dyDescent="0.4">
      <c r="A31" t="s">
        <v>21</v>
      </c>
      <c r="B31" s="3">
        <f>-26.8/(1.08^5)</f>
        <v>-18.239629680504581</v>
      </c>
    </row>
    <row r="32" spans="1:7" x14ac:dyDescent="0.4">
      <c r="A32" s="10"/>
      <c r="B32" s="10" t="s">
        <v>23</v>
      </c>
      <c r="C32" s="10"/>
      <c r="D32" s="10"/>
      <c r="E32" s="10"/>
      <c r="F32" s="10"/>
      <c r="G32" s="10"/>
    </row>
    <row r="34" spans="1:7" x14ac:dyDescent="0.4">
      <c r="A34" s="71" t="s">
        <v>96</v>
      </c>
      <c r="B34" s="71"/>
      <c r="C34" s="71"/>
      <c r="D34" s="71"/>
      <c r="E34" s="71"/>
      <c r="F34" s="71"/>
      <c r="G34" s="71"/>
    </row>
    <row r="35" spans="1:7" ht="73.55" customHeight="1" x14ac:dyDescent="0.4">
      <c r="A35" s="174" t="s">
        <v>128</v>
      </c>
      <c r="B35" s="174"/>
      <c r="C35" s="174"/>
      <c r="D35" s="174"/>
      <c r="E35" s="174"/>
      <c r="F35" s="174"/>
      <c r="G35" s="174"/>
    </row>
    <row r="36" spans="1:7" x14ac:dyDescent="0.4">
      <c r="A36" s="75"/>
    </row>
  </sheetData>
  <mergeCells count="3">
    <mergeCell ref="A2:G2"/>
    <mergeCell ref="A35:G35"/>
    <mergeCell ref="A25:G25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topLeftCell="A7" zoomScale="70" zoomScaleNormal="70" workbookViewId="0"/>
  </sheetViews>
  <sheetFormatPr defaultRowHeight="17.7" x14ac:dyDescent="0.4"/>
  <cols>
    <col min="1" max="6" width="13.109375" customWidth="1"/>
  </cols>
  <sheetData>
    <row r="1" spans="1:14" x14ac:dyDescent="0.4">
      <c r="A1" s="71" t="s">
        <v>121</v>
      </c>
    </row>
    <row r="2" spans="1:14" ht="65.400000000000006" customHeight="1" x14ac:dyDescent="0.4">
      <c r="A2" s="174" t="s">
        <v>122</v>
      </c>
      <c r="B2" s="174"/>
      <c r="C2" s="174"/>
      <c r="D2" s="174"/>
      <c r="E2" s="174"/>
      <c r="F2" s="174"/>
    </row>
    <row r="3" spans="1:14" x14ac:dyDescent="0.4">
      <c r="B3" s="71"/>
      <c r="C3" s="71"/>
      <c r="D3" s="71"/>
      <c r="E3" s="71"/>
      <c r="F3" s="71"/>
    </row>
    <row r="4" spans="1:14" x14ac:dyDescent="0.4">
      <c r="A4" s="176" t="s">
        <v>123</v>
      </c>
      <c r="B4" s="176"/>
      <c r="C4" s="176"/>
      <c r="D4" s="176"/>
      <c r="E4" s="176"/>
      <c r="F4" s="176"/>
    </row>
    <row r="5" spans="1:14" ht="19.05" x14ac:dyDescent="0.4">
      <c r="A5" s="73" t="s">
        <v>106</v>
      </c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</row>
    <row r="6" spans="1:14" x14ac:dyDescent="0.4">
      <c r="A6" s="69">
        <v>-10000</v>
      </c>
      <c r="B6" s="21">
        <v>2700</v>
      </c>
      <c r="C6" s="21">
        <v>2300</v>
      </c>
      <c r="D6" s="21">
        <v>2800</v>
      </c>
      <c r="E6" s="21">
        <v>2200</v>
      </c>
      <c r="F6" s="21">
        <v>2500</v>
      </c>
    </row>
    <row r="7" spans="1:14" x14ac:dyDescent="0.4">
      <c r="A7" s="11"/>
    </row>
    <row r="8" spans="1:14" x14ac:dyDescent="0.4">
      <c r="A8" s="71" t="s">
        <v>124</v>
      </c>
    </row>
    <row r="9" spans="1:14" x14ac:dyDescent="0.4">
      <c r="A9" s="17" t="s">
        <v>18</v>
      </c>
      <c r="B9" s="17"/>
      <c r="C9" s="17"/>
      <c r="D9" s="17"/>
      <c r="E9" s="17"/>
      <c r="F9" s="17"/>
    </row>
    <row r="10" spans="1:14" ht="19.05" x14ac:dyDescent="0.4">
      <c r="A10" s="74" t="s">
        <v>106</v>
      </c>
      <c r="B10" s="74" t="s">
        <v>107</v>
      </c>
      <c r="C10" s="74" t="s">
        <v>108</v>
      </c>
      <c r="D10" s="74" t="s">
        <v>109</v>
      </c>
      <c r="E10" s="74" t="s">
        <v>110</v>
      </c>
      <c r="F10" s="74" t="s">
        <v>111</v>
      </c>
    </row>
    <row r="11" spans="1:14" x14ac:dyDescent="0.4">
      <c r="A11">
        <v>-10000</v>
      </c>
      <c r="B11" s="4">
        <v>2700</v>
      </c>
      <c r="C11" s="4">
        <v>2300</v>
      </c>
      <c r="D11" s="4">
        <v>2800</v>
      </c>
      <c r="E11" s="4">
        <v>2200</v>
      </c>
      <c r="F11" s="4">
        <v>2500</v>
      </c>
    </row>
    <row r="13" spans="1:14" x14ac:dyDescent="0.4">
      <c r="A13" s="3">
        <f>B11/1.08</f>
        <v>2500</v>
      </c>
    </row>
    <row r="15" spans="1:14" x14ac:dyDescent="0.4">
      <c r="A15" s="3">
        <f>C11/(1.08^2)</f>
        <v>1971.8792866941014</v>
      </c>
      <c r="H15" s="3"/>
      <c r="I15" s="3"/>
      <c r="J15" s="3"/>
      <c r="K15" s="3"/>
      <c r="L15" s="3"/>
      <c r="M15" s="3"/>
      <c r="N15" s="3"/>
    </row>
    <row r="17" spans="1:6" x14ac:dyDescent="0.4">
      <c r="A17" s="3">
        <f>D11/(1.08^3)</f>
        <v>2222.7302748564748</v>
      </c>
    </row>
    <row r="19" spans="1:6" x14ac:dyDescent="0.4">
      <c r="A19" s="3">
        <f>E11/(1.08^4)</f>
        <v>1617.0656761521971</v>
      </c>
    </row>
    <row r="21" spans="1:6" x14ac:dyDescent="0.4">
      <c r="A21" s="3">
        <f>F11/(1.08^5)</f>
        <v>1701.4579925843825</v>
      </c>
    </row>
    <row r="23" spans="1:6" x14ac:dyDescent="0.4">
      <c r="A23" t="s">
        <v>19</v>
      </c>
    </row>
    <row r="24" spans="1:6" x14ac:dyDescent="0.4">
      <c r="A24" s="13">
        <f>A11+A13+A15+A17+A19+A21</f>
        <v>13.133230287155584</v>
      </c>
      <c r="B24" s="25" t="s">
        <v>25</v>
      </c>
      <c r="C24" s="10"/>
      <c r="D24" s="10"/>
      <c r="E24" s="10"/>
      <c r="F24" s="10"/>
    </row>
  </sheetData>
  <mergeCells count="2">
    <mergeCell ref="A2:F2"/>
    <mergeCell ref="A4:F4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練習問題1－1</vt:lpstr>
      <vt:lpstr>第2章　図表2－4</vt:lpstr>
      <vt:lpstr>第2章　図表2－5</vt:lpstr>
      <vt:lpstr>練習問題2－1</vt:lpstr>
      <vt:lpstr>練習問題2－2</vt:lpstr>
      <vt:lpstr>練習問題2－3</vt:lpstr>
      <vt:lpstr>練習問題3－1(1)</vt:lpstr>
      <vt:lpstr>練習問題3－1(2)</vt:lpstr>
      <vt:lpstr>練習問題3－２(1)</vt:lpstr>
      <vt:lpstr>練習問題3－2(2)</vt:lpstr>
      <vt:lpstr>練習問題4－２</vt:lpstr>
      <vt:lpstr>練習問題4－3</vt:lpstr>
      <vt:lpstr>練習問題4－4ブランク</vt:lpstr>
      <vt:lpstr>練習問題4－4解答</vt:lpstr>
      <vt:lpstr>第5章第3節　預金の価値</vt:lpstr>
      <vt:lpstr>練習問題5－１</vt:lpstr>
      <vt:lpstr>練習問題5－2</vt:lpstr>
      <vt:lpstr>練習問題6－1</vt:lpstr>
      <vt:lpstr>練習問題7－1</vt:lpstr>
      <vt:lpstr>練習問題9－1</vt:lpstr>
      <vt:lpstr>練習問題10－1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Kenji_Yasukata</dc:creator>
  <cp:lastModifiedBy>Kenji Yasukata</cp:lastModifiedBy>
  <cp:lastPrinted>2026-01-01T01:22:09Z</cp:lastPrinted>
  <dcterms:created xsi:type="dcterms:W3CDTF">2018-09-22T08:25:59Z</dcterms:created>
  <dcterms:modified xsi:type="dcterms:W3CDTF">2026-02-17T06:45:40Z</dcterms:modified>
</cp:coreProperties>
</file>